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Default Extension="xml" ContentType="application/xml"/>
  <Override PartName="/xl/drawings/drawing2.xml" ContentType="application/vnd.openxmlformats-officedocument.drawing+xml"/>
  <Override PartName="/xl/comments4.xml" ContentType="application/vnd.openxmlformats-officedocument.spreadsheetml.comments+xml"/>
  <Override PartName="/xl/worksheets/sheet3.xml" ContentType="application/vnd.openxmlformats-officedocument.spreadsheetml.worksheet+xml"/>
  <Override PartName="/xl/charts/chart27.xml" ContentType="application/vnd.openxmlformats-officedocument.drawingml.chart+xml"/>
  <Override PartName="/xl/drawings/drawing13.xml" ContentType="application/vnd.openxmlformats-officedocument.drawing+xml"/>
  <Override PartName="/xl/externalLinks/externalLink1.xml" ContentType="application/vnd.openxmlformats-officedocument.spreadsheetml.externalLink+xml"/>
  <Override PartName="/xl/charts/chart16.xml" ContentType="application/vnd.openxmlformats-officedocument.drawingml.chart+xml"/>
  <Override PartName="/xl/charts/chart34.xml" ContentType="application/vnd.openxmlformats-officedocument.drawingml.chart+xml"/>
  <Override PartName="/xl/drawings/drawing20.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21.xml" ContentType="application/vnd.openxmlformats-officedocument.drawingml.chart+xml"/>
  <Override PartName="/xl/charts/chart30.xml" ContentType="application/vnd.openxmlformats-officedocument.drawingml.char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charts/chart7.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harts/chart19.xml" ContentType="application/vnd.openxmlformats-officedocument.drawingml.chart+xml"/>
  <Override PartName="/xl/charts/chart28.xml" ContentType="application/vnd.openxmlformats-officedocument.drawingml.chart+xml"/>
  <Override PartName="/xl/drawings/drawing14.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charts/chart17.xml" ContentType="application/vnd.openxmlformats-officedocument.drawingml.chart+xml"/>
  <Override PartName="/xl/charts/chart26.xml" ContentType="application/vnd.openxmlformats-officedocument.drawingml.chart+xml"/>
  <Override PartName="/xl/drawings/drawing12.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drawings/drawing10.xml" ContentType="application/vnd.openxmlformats-officedocument.drawing+xml"/>
  <Override PartName="/xl/charts/chart33.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charts/chart29.xml" ContentType="application/vnd.openxmlformats-officedocument.drawingml.chart+xml"/>
  <Override PartName="/xl/drawings/drawing15.xml" ContentType="application/vnd.openxmlformats-officedocument.drawing+xml"/>
  <Override PartName="/xl/externalLinks/externalLink3.xml" ContentType="application/vnd.openxmlformats-officedocument.spreadsheetml.externalLink+xml"/>
  <Override PartName="/xl/charts/chart18.xml" ContentType="application/vnd.openxmlformats-officedocument.drawingml.char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charts/chart25.xml" ContentType="application/vnd.openxmlformats-officedocument.drawingml.chart+xml"/>
  <Override PartName="/xl/drawings/drawing11.xml" ContentType="application/vnd.openxmlformats-officedocument.drawing+xml"/>
  <Override PartName="/xl/worksheets/sheet38.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hidePivotFieldList="1" defaultThemeVersion="124226"/>
  <bookViews>
    <workbookView xWindow="10245" yWindow="-15" windowWidth="10275" windowHeight="7650" firstSheet="4" activeTab="8"/>
  </bookViews>
  <sheets>
    <sheet name="2006 - 2012 Emissions Overview" sheetId="24" r:id="rId1"/>
    <sheet name="2006 - 2012 Energy Use Overview" sheetId="39" r:id="rId2"/>
    <sheet name="2012 Inventory" sheetId="1" r:id="rId3"/>
    <sheet name="2011 Inventory" sheetId="23" r:id="rId4"/>
    <sheet name="2010 Inventory" sheetId="22" r:id="rId5"/>
    <sheet name="2009 Inventory" sheetId="21" r:id="rId6"/>
    <sheet name="2008 Inventory" sheetId="20" r:id="rId7"/>
    <sheet name="2007 Inventory" sheetId="19" r:id="rId8"/>
    <sheet name="2006 Inventory" sheetId="18" r:id="rId9"/>
    <sheet name="Virginia Tech Energy Data" sheetId="55" r:id="rId10"/>
    <sheet name="Inn at Virginia Tech NG Usage" sheetId="65" r:id="rId11"/>
    <sheet name="VT GHG Inventory 2005-2009" sheetId="57" r:id="rId12"/>
    <sheet name="EIA Natural Gas by Sector" sheetId="62" r:id="rId13"/>
    <sheet name="ATMOS NG Calculations" sheetId="41" r:id="rId14"/>
    <sheet name="2012 ATMOS NG Billed Volumes" sheetId="2" r:id="rId15"/>
    <sheet name="2011 ATMOS NG Billed Volumes" sheetId="31" r:id="rId16"/>
    <sheet name="2010 ATMOS NG Billed Volumes" sheetId="30" r:id="rId17"/>
    <sheet name="2009 ATMOS NG Billed Volumes" sheetId="29" r:id="rId18"/>
    <sheet name="2008 ATMOS NG Billed Volumes" sheetId="27" r:id="rId19"/>
    <sheet name="2007 ATMOS NG Billed Volumes" sheetId="28" r:id="rId20"/>
    <sheet name="2006 ATMOS NG Billed Volumes" sheetId="25" r:id="rId21"/>
    <sheet name="Default Emissions Factors" sheetId="3" r:id="rId22"/>
    <sheet name="Natural Gas Energy Content" sheetId="4" r:id="rId23"/>
    <sheet name="ACS 2011 Housing Statistics" sheetId="5" r:id="rId24"/>
    <sheet name="ACS 2010 Housing Statistics" sheetId="42" r:id="rId25"/>
    <sheet name="ACS 2009 Housing Statistics" sheetId="43" r:id="rId26"/>
    <sheet name="ACS 2008 Housing Statistics" sheetId="44" r:id="rId27"/>
    <sheet name="ACS 2007 Housing Statistics" sheetId="45" r:id="rId28"/>
    <sheet name="EIA Fuels Used in Homes" sheetId="6" r:id="rId29"/>
    <sheet name="EIA Residential Use Estimates" sheetId="7" r:id="rId30"/>
    <sheet name="BE.1.2 Calculations" sheetId="8" r:id="rId31"/>
    <sheet name="2010 - 2012 APCO Billed kWh's" sheetId="9" r:id="rId32"/>
    <sheet name="2006 - 2009 APCO Billed kWh's" sheetId="32" r:id="rId33"/>
    <sheet name="APCO Emission Factors" sheetId="10" r:id="rId34"/>
    <sheet name="ToB Utility Bills" sheetId="56" r:id="rId35"/>
    <sheet name="2012 VTES Billed kWh's" sheetId="11" r:id="rId36"/>
    <sheet name="2011 VTES Billed kWh's" sheetId="38" r:id="rId37"/>
    <sheet name="2010 VTES Billed kWh's" sheetId="37" r:id="rId38"/>
    <sheet name="2009 VTES Billed kWh's" sheetId="36" r:id="rId39"/>
    <sheet name="2008 VTES Billed kWh's" sheetId="35" r:id="rId40"/>
    <sheet name="2007 VTES Billed kWh's" sheetId="34" r:id="rId41"/>
    <sheet name="2006 VTES Billed kWh's" sheetId="33" r:id="rId42"/>
    <sheet name="Global Warming Potentials" sheetId="12" r:id="rId43"/>
    <sheet name="Vehicle Fuel Efficiency" sheetId="13" r:id="rId44"/>
    <sheet name="Vehicle Emission Factors" sheetId="15" r:id="rId45"/>
    <sheet name="VDOT VMT Totals" sheetId="16" r:id="rId46"/>
    <sheet name="Transportation Projections" sheetId="64" r:id="rId47"/>
    <sheet name="Transportation Fuel Information" sheetId="40" r:id="rId48"/>
    <sheet name="Wastewater Data" sheetId="46" r:id="rId49"/>
    <sheet name="Wastewater Coefficients" sheetId="47" r:id="rId50"/>
    <sheet name="Solid Waste Calculations" sheetId="58" r:id="rId51"/>
    <sheet name="2012 Bburg DEQ Report" sheetId="48" r:id="rId52"/>
    <sheet name="2011 Bburg DEQ Report" sheetId="49" r:id="rId53"/>
    <sheet name="2010 Bburg DEQ Report" sheetId="50" r:id="rId54"/>
    <sheet name="2009 Bburg DEQ Report" sheetId="51" r:id="rId55"/>
    <sheet name="2008 Bburg DEQ Report" sheetId="52" r:id="rId56"/>
    <sheet name="2007 Bburg DEQ Report" sheetId="53" r:id="rId57"/>
    <sheet name="2006 Bburg DEQ Report" sheetId="54" r:id="rId58"/>
    <sheet name="Solid Waste Coefficients" sheetId="59" r:id="rId59"/>
    <sheet name="Assumptions and Methodology" sheetId="60" r:id="rId60"/>
    <sheet name="Sheet2" sheetId="61" r:id="rId61"/>
  </sheets>
  <externalReferences>
    <externalReference r:id="rId62"/>
    <externalReference r:id="rId63"/>
    <externalReference r:id="rId64"/>
  </externalReferences>
  <definedNames>
    <definedName name="_ftn1" localSheetId="13">'ATMOS NG Calculations'!#REF!</definedName>
    <definedName name="_ftnref1" localSheetId="13">'ATMOS NG Calculations'!#REF!</definedName>
  </definedNames>
  <calcPr calcId="124519"/>
</workbook>
</file>

<file path=xl/calcChain.xml><?xml version="1.0" encoding="utf-8"?>
<calcChain xmlns="http://schemas.openxmlformats.org/spreadsheetml/2006/main">
  <c r="C41" i="36"/>
  <c r="D42" i="18" l="1"/>
  <c r="D41"/>
  <c r="D40"/>
  <c r="D39"/>
  <c r="D38"/>
  <c r="D37"/>
  <c r="D36"/>
  <c r="D35"/>
  <c r="D42" i="19"/>
  <c r="D41"/>
  <c r="D40"/>
  <c r="D39"/>
  <c r="D38"/>
  <c r="D37"/>
  <c r="D36"/>
  <c r="D35"/>
  <c r="D40" i="20"/>
  <c r="D39"/>
  <c r="D38"/>
  <c r="D37"/>
  <c r="D36"/>
  <c r="D35"/>
  <c r="D34"/>
  <c r="D33"/>
  <c r="D40" i="21"/>
  <c r="D39"/>
  <c r="D38"/>
  <c r="D37"/>
  <c r="D36"/>
  <c r="D35"/>
  <c r="D34"/>
  <c r="D33"/>
  <c r="D40" i="22"/>
  <c r="D39"/>
  <c r="D38"/>
  <c r="D37"/>
  <c r="D36"/>
  <c r="D35"/>
  <c r="D34"/>
  <c r="D33"/>
  <c r="D40" i="23"/>
  <c r="D39"/>
  <c r="D38"/>
  <c r="D37"/>
  <c r="D36"/>
  <c r="D35"/>
  <c r="D34"/>
  <c r="D33"/>
  <c r="D43" i="18"/>
  <c r="D43" i="19"/>
  <c r="D41" i="20"/>
  <c r="D41" i="21"/>
  <c r="D41" i="22"/>
  <c r="D34" i="1"/>
  <c r="D33"/>
  <c r="D40"/>
  <c r="D39"/>
  <c r="D41" i="23" l="1"/>
  <c r="D4" i="41" l="1"/>
  <c r="E4"/>
  <c r="F4"/>
  <c r="G4"/>
  <c r="H4"/>
  <c r="I4"/>
  <c r="C4"/>
  <c r="G8" i="65"/>
  <c r="F8"/>
  <c r="E8"/>
  <c r="D8"/>
  <c r="C8"/>
  <c r="B8"/>
  <c r="A8"/>
  <c r="L110"/>
  <c r="L109"/>
  <c r="L108"/>
  <c r="L107"/>
  <c r="L106"/>
  <c r="L105"/>
  <c r="L104"/>
  <c r="L103"/>
  <c r="L102"/>
  <c r="L101"/>
  <c r="L21" i="5"/>
  <c r="F1" i="64" l="1"/>
  <c r="M6" s="1"/>
  <c r="E3" i="41"/>
  <c r="D3"/>
  <c r="M37" i="57"/>
  <c r="L37"/>
  <c r="K37"/>
  <c r="K36"/>
  <c r="M36"/>
  <c r="L36"/>
  <c r="Q45"/>
  <c r="O45"/>
  <c r="M45"/>
  <c r="M48" s="1"/>
  <c r="P45"/>
  <c r="R45"/>
  <c r="N45"/>
  <c r="L45"/>
  <c r="R44"/>
  <c r="R43"/>
  <c r="D17" i="61"/>
  <c r="F3" i="41"/>
  <c r="C3"/>
  <c r="G3"/>
  <c r="I3"/>
  <c r="H3"/>
  <c r="I11"/>
  <c r="H11"/>
  <c r="G11"/>
  <c r="F11"/>
  <c r="E11"/>
  <c r="D11"/>
  <c r="C11"/>
  <c r="D48" i="18"/>
  <c r="D49"/>
  <c r="D50"/>
  <c r="E50" s="1"/>
  <c r="D47"/>
  <c r="D48" i="19"/>
  <c r="D49"/>
  <c r="D50"/>
  <c r="D47"/>
  <c r="D46" i="20"/>
  <c r="M46" s="1"/>
  <c r="N46" s="1"/>
  <c r="O46" s="1"/>
  <c r="G46" i="24" s="1"/>
  <c r="D47" i="20"/>
  <c r="D48"/>
  <c r="E48" s="1"/>
  <c r="D45"/>
  <c r="D46" i="21"/>
  <c r="D47"/>
  <c r="D48"/>
  <c r="D45"/>
  <c r="D46" i="22"/>
  <c r="D47"/>
  <c r="D48"/>
  <c r="D45"/>
  <c r="J45" s="1"/>
  <c r="K45" s="1"/>
  <c r="O45" s="1"/>
  <c r="I45" i="24" s="1"/>
  <c r="D46" i="23"/>
  <c r="D47"/>
  <c r="D48"/>
  <c r="D45"/>
  <c r="E58" i="18"/>
  <c r="H55"/>
  <c r="L50"/>
  <c r="I50"/>
  <c r="G50"/>
  <c r="M49"/>
  <c r="N49" s="1"/>
  <c r="O49" s="1"/>
  <c r="E47" i="24" s="1"/>
  <c r="M48" i="18"/>
  <c r="N48" s="1"/>
  <c r="O48" s="1"/>
  <c r="E46" i="24" s="1"/>
  <c r="J47" i="18"/>
  <c r="K47" s="1"/>
  <c r="O47" s="1"/>
  <c r="E45" i="24" s="1"/>
  <c r="E58" i="19"/>
  <c r="H55"/>
  <c r="L50"/>
  <c r="I50"/>
  <c r="G50"/>
  <c r="E50"/>
  <c r="M49"/>
  <c r="N49" s="1"/>
  <c r="O49" s="1"/>
  <c r="F47" i="24" s="1"/>
  <c r="M48" i="19"/>
  <c r="N48" s="1"/>
  <c r="O48" s="1"/>
  <c r="F46" i="24" s="1"/>
  <c r="J47" i="19"/>
  <c r="K47" s="1"/>
  <c r="O47" s="1"/>
  <c r="F45" i="24" s="1"/>
  <c r="E56" i="20"/>
  <c r="H53"/>
  <c r="L48"/>
  <c r="I48"/>
  <c r="G48"/>
  <c r="M47"/>
  <c r="N47" s="1"/>
  <c r="O47" s="1"/>
  <c r="G47" i="24" s="1"/>
  <c r="J45" i="20"/>
  <c r="K45" s="1"/>
  <c r="O45" s="1"/>
  <c r="G45" i="24" s="1"/>
  <c r="E56" i="21"/>
  <c r="H53"/>
  <c r="L48"/>
  <c r="I48"/>
  <c r="G48"/>
  <c r="E48"/>
  <c r="M47"/>
  <c r="N47" s="1"/>
  <c r="O47" s="1"/>
  <c r="H47" i="24" s="1"/>
  <c r="M46" i="21"/>
  <c r="N46" s="1"/>
  <c r="O46" s="1"/>
  <c r="H46" i="24" s="1"/>
  <c r="J45" i="21"/>
  <c r="K45" s="1"/>
  <c r="O45" s="1"/>
  <c r="H45" i="24" s="1"/>
  <c r="E56" i="22"/>
  <c r="H53"/>
  <c r="L48"/>
  <c r="I48"/>
  <c r="G48"/>
  <c r="E48"/>
  <c r="M47"/>
  <c r="N47" s="1"/>
  <c r="O47" s="1"/>
  <c r="I47" i="24" s="1"/>
  <c r="M46" i="22"/>
  <c r="N46" s="1"/>
  <c r="O46" s="1"/>
  <c r="I46" i="24" s="1"/>
  <c r="E56" i="23"/>
  <c r="H53"/>
  <c r="L48"/>
  <c r="I48"/>
  <c r="G48"/>
  <c r="E48"/>
  <c r="M47"/>
  <c r="N47" s="1"/>
  <c r="O47" s="1"/>
  <c r="J47" i="24" s="1"/>
  <c r="M46" i="23"/>
  <c r="N46" s="1"/>
  <c r="O46" s="1"/>
  <c r="J46" i="24" s="1"/>
  <c r="J45" i="23"/>
  <c r="K45" s="1"/>
  <c r="O45" s="1"/>
  <c r="J45" i="24" s="1"/>
  <c r="E7" i="58"/>
  <c r="E8" s="1"/>
  <c r="G7"/>
  <c r="G8" s="1"/>
  <c r="D9"/>
  <c r="D10" s="1"/>
  <c r="E9"/>
  <c r="E10" s="1"/>
  <c r="F9"/>
  <c r="F10" s="1"/>
  <c r="H9"/>
  <c r="C9"/>
  <c r="B9"/>
  <c r="H7"/>
  <c r="F7"/>
  <c r="D7"/>
  <c r="B7"/>
  <c r="H4"/>
  <c r="F4"/>
  <c r="E4"/>
  <c r="D4"/>
  <c r="C5"/>
  <c r="C4"/>
  <c r="B5"/>
  <c r="B4"/>
  <c r="R50" i="48"/>
  <c r="I38" i="54"/>
  <c r="I37"/>
  <c r="IV37" s="1"/>
  <c r="I36"/>
  <c r="J37" s="1"/>
  <c r="I32"/>
  <c r="I31"/>
  <c r="I30"/>
  <c r="I29"/>
  <c r="I28"/>
  <c r="H26"/>
  <c r="F26"/>
  <c r="E26"/>
  <c r="C26"/>
  <c r="I25"/>
  <c r="I24"/>
  <c r="I23"/>
  <c r="D23"/>
  <c r="I22"/>
  <c r="D21"/>
  <c r="D26" s="1"/>
  <c r="I20"/>
  <c r="I19"/>
  <c r="I18"/>
  <c r="I17"/>
  <c r="G17"/>
  <c r="G26" s="1"/>
  <c r="I16"/>
  <c r="H13"/>
  <c r="H33" s="1"/>
  <c r="F13"/>
  <c r="F33" s="1"/>
  <c r="I12"/>
  <c r="I11"/>
  <c r="G11"/>
  <c r="G13" s="1"/>
  <c r="G33" s="1"/>
  <c r="I10"/>
  <c r="I9"/>
  <c r="I8"/>
  <c r="I7"/>
  <c r="I6"/>
  <c r="D6"/>
  <c r="D13" s="1"/>
  <c r="D33" s="1"/>
  <c r="E5"/>
  <c r="E13" s="1"/>
  <c r="E33" s="1"/>
  <c r="C5"/>
  <c r="C13" s="1"/>
  <c r="J45" i="39" l="1"/>
  <c r="H55" s="1"/>
  <c r="B66" i="23"/>
  <c r="E49" i="22"/>
  <c r="B66"/>
  <c r="E51" i="18"/>
  <c r="B68"/>
  <c r="O48" i="57"/>
  <c r="H45" i="39"/>
  <c r="F55" s="1"/>
  <c r="B66" i="21"/>
  <c r="E51" i="19"/>
  <c r="B68"/>
  <c r="E49" i="20"/>
  <c r="B66"/>
  <c r="Q48" i="57"/>
  <c r="N6" i="64"/>
  <c r="M4"/>
  <c r="I5" i="41"/>
  <c r="G5"/>
  <c r="C5"/>
  <c r="H5"/>
  <c r="F5"/>
  <c r="C6" i="58"/>
  <c r="E45" i="39"/>
  <c r="C55" s="1"/>
  <c r="F45"/>
  <c r="D55" s="1"/>
  <c r="G45"/>
  <c r="E55" s="1"/>
  <c r="I45"/>
  <c r="G55" s="1"/>
  <c r="M50" i="18"/>
  <c r="N50" s="1"/>
  <c r="N51" s="1"/>
  <c r="J50"/>
  <c r="H50"/>
  <c r="H50" i="19"/>
  <c r="M50"/>
  <c r="J50"/>
  <c r="H48" i="20"/>
  <c r="M48"/>
  <c r="J48"/>
  <c r="H48" i="21"/>
  <c r="M48"/>
  <c r="E49"/>
  <c r="J48"/>
  <c r="H48" i="22"/>
  <c r="M48"/>
  <c r="J48"/>
  <c r="H48" i="23"/>
  <c r="M48"/>
  <c r="E49"/>
  <c r="J48"/>
  <c r="B10" i="58"/>
  <c r="C10"/>
  <c r="H10"/>
  <c r="H6"/>
  <c r="F6"/>
  <c r="D6"/>
  <c r="B6"/>
  <c r="E6"/>
  <c r="E13" s="1"/>
  <c r="C33" i="54"/>
  <c r="J33" s="1"/>
  <c r="J13"/>
  <c r="J26"/>
  <c r="I21"/>
  <c r="I26" s="1"/>
  <c r="I5"/>
  <c r="I13" s="1"/>
  <c r="I39" i="53"/>
  <c r="I38"/>
  <c r="I37"/>
  <c r="J38" s="1"/>
  <c r="G34"/>
  <c r="E34"/>
  <c r="I33"/>
  <c r="I32"/>
  <c r="I31"/>
  <c r="I30"/>
  <c r="I29"/>
  <c r="H27"/>
  <c r="G27"/>
  <c r="F27"/>
  <c r="E27"/>
  <c r="D27"/>
  <c r="J27" s="1"/>
  <c r="C27"/>
  <c r="I26"/>
  <c r="I25"/>
  <c r="I24"/>
  <c r="I23"/>
  <c r="I22"/>
  <c r="I21"/>
  <c r="I20"/>
  <c r="I19"/>
  <c r="I18"/>
  <c r="I17"/>
  <c r="I27" s="1"/>
  <c r="H14"/>
  <c r="H34" s="1"/>
  <c r="G14"/>
  <c r="F14"/>
  <c r="F34" s="1"/>
  <c r="D14"/>
  <c r="D34" s="1"/>
  <c r="C14"/>
  <c r="C34" s="1"/>
  <c r="I13"/>
  <c r="I12"/>
  <c r="I11"/>
  <c r="I10"/>
  <c r="I9"/>
  <c r="I8"/>
  <c r="I7"/>
  <c r="I6"/>
  <c r="I5"/>
  <c r="I14" s="1"/>
  <c r="I34" s="1"/>
  <c r="I35" s="1"/>
  <c r="O6" i="64" l="1"/>
  <c r="N4"/>
  <c r="D54" i="21"/>
  <c r="H54" s="1"/>
  <c r="D53"/>
  <c r="J53" s="1"/>
  <c r="D55"/>
  <c r="H55" s="1"/>
  <c r="O55" s="1"/>
  <c r="H55" i="24" s="1"/>
  <c r="M51" i="18"/>
  <c r="H51"/>
  <c r="K50"/>
  <c r="K51" s="1"/>
  <c r="J51"/>
  <c r="M51" i="19"/>
  <c r="N50"/>
  <c r="N51" s="1"/>
  <c r="K50"/>
  <c r="K51" s="1"/>
  <c r="J51"/>
  <c r="H51"/>
  <c r="M49" i="20"/>
  <c r="N48"/>
  <c r="N49" s="1"/>
  <c r="K48"/>
  <c r="K49" s="1"/>
  <c r="J49"/>
  <c r="H49"/>
  <c r="K48" i="21"/>
  <c r="K49" s="1"/>
  <c r="J49"/>
  <c r="M49"/>
  <c r="N48"/>
  <c r="N49" s="1"/>
  <c r="H49"/>
  <c r="O48"/>
  <c r="H49" i="22"/>
  <c r="K48"/>
  <c r="K49" s="1"/>
  <c r="J49"/>
  <c r="M49"/>
  <c r="N48"/>
  <c r="N49" s="1"/>
  <c r="K48" i="23"/>
  <c r="K49" s="1"/>
  <c r="J49"/>
  <c r="M49"/>
  <c r="N48"/>
  <c r="N49" s="1"/>
  <c r="H49"/>
  <c r="I33" i="54"/>
  <c r="I34" s="1"/>
  <c r="J34" i="53"/>
  <c r="IV38"/>
  <c r="J14"/>
  <c r="R52" i="52"/>
  <c r="Q52"/>
  <c r="T52" s="1"/>
  <c r="R51"/>
  <c r="Q51"/>
  <c r="T51" s="1"/>
  <c r="R50"/>
  <c r="Q50"/>
  <c r="T50" s="1"/>
  <c r="R49"/>
  <c r="Q49"/>
  <c r="T49" s="1"/>
  <c r="O46"/>
  <c r="N46"/>
  <c r="M46"/>
  <c r="L46"/>
  <c r="K46"/>
  <c r="J46"/>
  <c r="I46"/>
  <c r="H46"/>
  <c r="G46"/>
  <c r="F46"/>
  <c r="E46"/>
  <c r="D46"/>
  <c r="C46"/>
  <c r="R46" s="1"/>
  <c r="B46"/>
  <c r="Q46" s="1"/>
  <c r="T46" s="1"/>
  <c r="R43"/>
  <c r="Q43"/>
  <c r="T43" s="1"/>
  <c r="O42"/>
  <c r="N42"/>
  <c r="K42"/>
  <c r="J42"/>
  <c r="I42"/>
  <c r="H42"/>
  <c r="G42"/>
  <c r="F42"/>
  <c r="E42"/>
  <c r="D42"/>
  <c r="C42"/>
  <c r="R42" s="1"/>
  <c r="B42"/>
  <c r="Q42" s="1"/>
  <c r="T42" s="1"/>
  <c r="R41"/>
  <c r="Q41"/>
  <c r="T41" s="1"/>
  <c r="R40"/>
  <c r="Q40"/>
  <c r="T40" s="1"/>
  <c r="R39"/>
  <c r="Q39"/>
  <c r="T39" s="1"/>
  <c r="R38"/>
  <c r="Q38"/>
  <c r="T38" s="1"/>
  <c r="R37"/>
  <c r="Q37"/>
  <c r="T37" s="1"/>
  <c r="R36"/>
  <c r="Q36"/>
  <c r="T36" s="1"/>
  <c r="R33"/>
  <c r="Q33"/>
  <c r="T33" s="1"/>
  <c r="O32"/>
  <c r="N32"/>
  <c r="M32"/>
  <c r="L32"/>
  <c r="K32"/>
  <c r="J32"/>
  <c r="I32"/>
  <c r="H32"/>
  <c r="G32"/>
  <c r="F32"/>
  <c r="E32"/>
  <c r="D32"/>
  <c r="C32"/>
  <c r="R32" s="1"/>
  <c r="B32"/>
  <c r="Q32" s="1"/>
  <c r="T32" s="1"/>
  <c r="R31"/>
  <c r="Q31"/>
  <c r="T31" s="1"/>
  <c r="R30"/>
  <c r="Q30"/>
  <c r="T30" s="1"/>
  <c r="R29"/>
  <c r="Q29"/>
  <c r="T29" s="1"/>
  <c r="R28"/>
  <c r="Q28"/>
  <c r="T28" s="1"/>
  <c r="R27"/>
  <c r="Q27"/>
  <c r="T27" s="1"/>
  <c r="R26"/>
  <c r="Q26"/>
  <c r="T26" s="1"/>
  <c r="R25"/>
  <c r="Q25"/>
  <c r="T25" s="1"/>
  <c r="R24"/>
  <c r="Q24"/>
  <c r="T24" s="1"/>
  <c r="R23"/>
  <c r="Q23"/>
  <c r="T23" s="1"/>
  <c r="R22"/>
  <c r="Q22"/>
  <c r="T22" s="1"/>
  <c r="R21"/>
  <c r="Q21"/>
  <c r="T21" s="1"/>
  <c r="R20"/>
  <c r="Q20"/>
  <c r="T20" s="1"/>
  <c r="R19"/>
  <c r="Q19"/>
  <c r="T19" s="1"/>
  <c r="R18"/>
  <c r="Q18"/>
  <c r="T18" s="1"/>
  <c r="O15"/>
  <c r="O45" s="1"/>
  <c r="N15"/>
  <c r="N45" s="1"/>
  <c r="M15"/>
  <c r="M45" s="1"/>
  <c r="L15"/>
  <c r="L45" s="1"/>
  <c r="K15"/>
  <c r="K45" s="1"/>
  <c r="J15"/>
  <c r="J45" s="1"/>
  <c r="I15"/>
  <c r="I45" s="1"/>
  <c r="H15"/>
  <c r="H45" s="1"/>
  <c r="G15"/>
  <c r="G45" s="1"/>
  <c r="F15"/>
  <c r="F45" s="1"/>
  <c r="E15"/>
  <c r="E45" s="1"/>
  <c r="D15"/>
  <c r="D45" s="1"/>
  <c r="C15"/>
  <c r="R15" s="1"/>
  <c r="B15"/>
  <c r="B45" s="1"/>
  <c r="Q45" s="1"/>
  <c r="R14"/>
  <c r="Q14"/>
  <c r="T14" s="1"/>
  <c r="R13"/>
  <c r="Q13"/>
  <c r="T13" s="1"/>
  <c r="R12"/>
  <c r="Q12"/>
  <c r="T12" s="1"/>
  <c r="R11"/>
  <c r="Q11"/>
  <c r="T11" s="1"/>
  <c r="R10"/>
  <c r="Q10"/>
  <c r="T10" s="1"/>
  <c r="R9"/>
  <c r="Q9"/>
  <c r="T9" s="1"/>
  <c r="R8"/>
  <c r="Q8"/>
  <c r="T8" s="1"/>
  <c r="R7"/>
  <c r="Q7"/>
  <c r="T7" s="1"/>
  <c r="R6"/>
  <c r="Q6"/>
  <c r="T6" s="1"/>
  <c r="S53" i="51"/>
  <c r="R53"/>
  <c r="U53" s="1"/>
  <c r="S52"/>
  <c r="D52"/>
  <c r="R52" s="1"/>
  <c r="U52" s="1"/>
  <c r="R51"/>
  <c r="U51" s="1"/>
  <c r="R50"/>
  <c r="U50" s="1"/>
  <c r="O47"/>
  <c r="N47"/>
  <c r="L47"/>
  <c r="J47"/>
  <c r="I47"/>
  <c r="H47"/>
  <c r="G47"/>
  <c r="F47"/>
  <c r="E47"/>
  <c r="D47"/>
  <c r="C47"/>
  <c r="S47" s="1"/>
  <c r="B47"/>
  <c r="R47" s="1"/>
  <c r="U47" s="1"/>
  <c r="S44"/>
  <c r="R44"/>
  <c r="U44" s="1"/>
  <c r="O43"/>
  <c r="N43"/>
  <c r="K43"/>
  <c r="J43"/>
  <c r="I43"/>
  <c r="I46" s="1"/>
  <c r="H43"/>
  <c r="G43"/>
  <c r="G46" s="1"/>
  <c r="F43"/>
  <c r="E43"/>
  <c r="E46" s="1"/>
  <c r="D43"/>
  <c r="C43"/>
  <c r="C46" s="1"/>
  <c r="B43"/>
  <c r="R43" s="1"/>
  <c r="S42"/>
  <c r="R42"/>
  <c r="U42" s="1"/>
  <c r="S41"/>
  <c r="R41"/>
  <c r="U41" s="1"/>
  <c r="S40"/>
  <c r="R40"/>
  <c r="U40" s="1"/>
  <c r="S39"/>
  <c r="R39"/>
  <c r="U39" s="1"/>
  <c r="S38"/>
  <c r="R38"/>
  <c r="U38" s="1"/>
  <c r="S37"/>
  <c r="R37"/>
  <c r="U37" s="1"/>
  <c r="R34"/>
  <c r="M34"/>
  <c r="S34" s="1"/>
  <c r="O33"/>
  <c r="N33"/>
  <c r="M33"/>
  <c r="L33"/>
  <c r="J33"/>
  <c r="I33"/>
  <c r="H33"/>
  <c r="G33"/>
  <c r="F33"/>
  <c r="E33"/>
  <c r="D33"/>
  <c r="C33"/>
  <c r="B33"/>
  <c r="R33" s="1"/>
  <c r="S32"/>
  <c r="R32"/>
  <c r="U32" s="1"/>
  <c r="S31"/>
  <c r="R31"/>
  <c r="U31" s="1"/>
  <c r="S30"/>
  <c r="R30"/>
  <c r="U30" s="1"/>
  <c r="R29"/>
  <c r="K29"/>
  <c r="K33" s="1"/>
  <c r="S28"/>
  <c r="R28"/>
  <c r="U28" s="1"/>
  <c r="S27"/>
  <c r="R27"/>
  <c r="U27" s="1"/>
  <c r="S26"/>
  <c r="R26"/>
  <c r="U26" s="1"/>
  <c r="S25"/>
  <c r="R25"/>
  <c r="U25" s="1"/>
  <c r="S24"/>
  <c r="R24"/>
  <c r="U24" s="1"/>
  <c r="S23"/>
  <c r="R23"/>
  <c r="U23" s="1"/>
  <c r="S22"/>
  <c r="R22"/>
  <c r="U22" s="1"/>
  <c r="S21"/>
  <c r="R21"/>
  <c r="U21" s="1"/>
  <c r="S20"/>
  <c r="R20"/>
  <c r="U20" s="1"/>
  <c r="S19"/>
  <c r="R19"/>
  <c r="U19" s="1"/>
  <c r="O16"/>
  <c r="O46" s="1"/>
  <c r="N16"/>
  <c r="N46" s="1"/>
  <c r="M16"/>
  <c r="L16"/>
  <c r="L46" s="1"/>
  <c r="I16"/>
  <c r="H16"/>
  <c r="H46" s="1"/>
  <c r="G16"/>
  <c r="F16"/>
  <c r="F46" s="1"/>
  <c r="E16"/>
  <c r="D16"/>
  <c r="D46" s="1"/>
  <c r="C16"/>
  <c r="B16"/>
  <c r="B46" s="1"/>
  <c r="S15"/>
  <c r="R15"/>
  <c r="U15" s="1"/>
  <c r="S14"/>
  <c r="R14"/>
  <c r="U14" s="1"/>
  <c r="S13"/>
  <c r="R13"/>
  <c r="U13" s="1"/>
  <c r="R12"/>
  <c r="K12"/>
  <c r="S12" s="1"/>
  <c r="S11"/>
  <c r="R11"/>
  <c r="U11" s="1"/>
  <c r="S10"/>
  <c r="R10"/>
  <c r="U10" s="1"/>
  <c r="S9"/>
  <c r="R9"/>
  <c r="U9" s="1"/>
  <c r="S8"/>
  <c r="R8"/>
  <c r="U8" s="1"/>
  <c r="S7"/>
  <c r="R7"/>
  <c r="U7" s="1"/>
  <c r="K6"/>
  <c r="K16" s="1"/>
  <c r="K46" s="1"/>
  <c r="J6"/>
  <c r="R6" s="1"/>
  <c r="O48" i="20" l="1"/>
  <c r="P6" i="64"/>
  <c r="O4"/>
  <c r="U12" i="51"/>
  <c r="U34"/>
  <c r="J16"/>
  <c r="J46" s="1"/>
  <c r="O49" i="21"/>
  <c r="C66" s="1"/>
  <c r="H48" i="24"/>
  <c r="H49" s="1"/>
  <c r="F65" s="1"/>
  <c r="O49" i="20"/>
  <c r="C66" s="1"/>
  <c r="G48" i="24"/>
  <c r="G49" s="1"/>
  <c r="E65" s="1"/>
  <c r="O54" i="21"/>
  <c r="H54" i="24" s="1"/>
  <c r="H56" i="21"/>
  <c r="O48" i="23"/>
  <c r="J56" i="21"/>
  <c r="K53"/>
  <c r="O50" i="18"/>
  <c r="O50" i="19"/>
  <c r="O48" i="22"/>
  <c r="Q15" i="52"/>
  <c r="T15" s="1"/>
  <c r="C45"/>
  <c r="R45" s="1"/>
  <c r="T45" s="1"/>
  <c r="S16" i="51"/>
  <c r="S46"/>
  <c r="R46"/>
  <c r="U46" s="1"/>
  <c r="S33"/>
  <c r="U33" s="1"/>
  <c r="S43"/>
  <c r="U43" s="1"/>
  <c r="S6"/>
  <c r="U6" s="1"/>
  <c r="R16"/>
  <c r="U16" s="1"/>
  <c r="S29"/>
  <c r="U29" s="1"/>
  <c r="S54" i="50"/>
  <c r="N54"/>
  <c r="R54" s="1"/>
  <c r="U54" s="1"/>
  <c r="S53"/>
  <c r="J53"/>
  <c r="R53" s="1"/>
  <c r="U53" s="1"/>
  <c r="P52"/>
  <c r="P54" s="1"/>
  <c r="L52"/>
  <c r="R52" s="1"/>
  <c r="U52" s="1"/>
  <c r="H52"/>
  <c r="U51"/>
  <c r="R51"/>
  <c r="O48"/>
  <c r="N48"/>
  <c r="L48"/>
  <c r="J48"/>
  <c r="H48"/>
  <c r="G48"/>
  <c r="F48"/>
  <c r="D48"/>
  <c r="C48"/>
  <c r="B48"/>
  <c r="R48" s="1"/>
  <c r="P47"/>
  <c r="R45"/>
  <c r="E45"/>
  <c r="E48" s="1"/>
  <c r="R44"/>
  <c r="P44"/>
  <c r="O44"/>
  <c r="N44"/>
  <c r="K44"/>
  <c r="J44"/>
  <c r="I44"/>
  <c r="H44"/>
  <c r="G44"/>
  <c r="F44"/>
  <c r="E44"/>
  <c r="D44"/>
  <c r="C44"/>
  <c r="S44" s="1"/>
  <c r="B44"/>
  <c r="S43"/>
  <c r="R43"/>
  <c r="U43" s="1"/>
  <c r="E43"/>
  <c r="U42"/>
  <c r="R42"/>
  <c r="S41"/>
  <c r="R41"/>
  <c r="U41" s="1"/>
  <c r="S40"/>
  <c r="R40"/>
  <c r="U40" s="1"/>
  <c r="S39"/>
  <c r="R39"/>
  <c r="U39" s="1"/>
  <c r="S38"/>
  <c r="R38"/>
  <c r="U38" s="1"/>
  <c r="R35"/>
  <c r="I35"/>
  <c r="I48" s="1"/>
  <c r="P34"/>
  <c r="O34"/>
  <c r="N34"/>
  <c r="J34"/>
  <c r="I34"/>
  <c r="H34"/>
  <c r="G34"/>
  <c r="F34"/>
  <c r="E34"/>
  <c r="D34"/>
  <c r="C34"/>
  <c r="B34"/>
  <c r="R33"/>
  <c r="K33"/>
  <c r="S33" s="1"/>
  <c r="R32"/>
  <c r="I32"/>
  <c r="S32" s="1"/>
  <c r="S31"/>
  <c r="R31"/>
  <c r="U31" s="1"/>
  <c r="S30"/>
  <c r="R30"/>
  <c r="U30" s="1"/>
  <c r="S29"/>
  <c r="R29"/>
  <c r="U29" s="1"/>
  <c r="S28"/>
  <c r="R28"/>
  <c r="U28" s="1"/>
  <c r="R27"/>
  <c r="M27"/>
  <c r="S27" s="1"/>
  <c r="R26"/>
  <c r="M26"/>
  <c r="S26" s="1"/>
  <c r="S25"/>
  <c r="R25"/>
  <c r="U25" s="1"/>
  <c r="R24"/>
  <c r="M24"/>
  <c r="S24" s="1"/>
  <c r="R23"/>
  <c r="M23"/>
  <c r="S23" s="1"/>
  <c r="S22"/>
  <c r="R22"/>
  <c r="U22" s="1"/>
  <c r="R21"/>
  <c r="M21"/>
  <c r="K21"/>
  <c r="S21" s="1"/>
  <c r="M20"/>
  <c r="M34" s="1"/>
  <c r="L20"/>
  <c r="L34" s="1"/>
  <c r="R34" s="1"/>
  <c r="P17"/>
  <c r="O17"/>
  <c r="O47" s="1"/>
  <c r="M17"/>
  <c r="L17"/>
  <c r="L47" s="1"/>
  <c r="G17"/>
  <c r="G47" s="1"/>
  <c r="F17"/>
  <c r="F47" s="1"/>
  <c r="E17"/>
  <c r="E47" s="1"/>
  <c r="D17"/>
  <c r="D47" s="1"/>
  <c r="C17"/>
  <c r="B17"/>
  <c r="B47" s="1"/>
  <c r="S16"/>
  <c r="I16"/>
  <c r="S15"/>
  <c r="R15"/>
  <c r="U15" s="1"/>
  <c r="S14"/>
  <c r="R14"/>
  <c r="U14" s="1"/>
  <c r="S13"/>
  <c r="R13"/>
  <c r="U13" s="1"/>
  <c r="R12"/>
  <c r="K12"/>
  <c r="S12" s="1"/>
  <c r="S11"/>
  <c r="R11"/>
  <c r="U11" s="1"/>
  <c r="S10"/>
  <c r="R10"/>
  <c r="U10" s="1"/>
  <c r="S9"/>
  <c r="R9"/>
  <c r="U9" s="1"/>
  <c r="R8"/>
  <c r="I8"/>
  <c r="S8" s="1"/>
  <c r="R7"/>
  <c r="M7"/>
  <c r="K7"/>
  <c r="I7"/>
  <c r="S7" s="1"/>
  <c r="R6"/>
  <c r="N6"/>
  <c r="N17" s="1"/>
  <c r="N47" s="1"/>
  <c r="K6"/>
  <c r="K17" s="1"/>
  <c r="J6"/>
  <c r="J17" s="1"/>
  <c r="J47" s="1"/>
  <c r="I6"/>
  <c r="S6" s="1"/>
  <c r="H6"/>
  <c r="H17" s="1"/>
  <c r="S54" i="49"/>
  <c r="D54"/>
  <c r="R54" s="1"/>
  <c r="U54" s="1"/>
  <c r="D53"/>
  <c r="R53" s="1"/>
  <c r="L52"/>
  <c r="J52"/>
  <c r="H52"/>
  <c r="R52" s="1"/>
  <c r="U52" s="1"/>
  <c r="B51"/>
  <c r="O48"/>
  <c r="N48"/>
  <c r="L48"/>
  <c r="J48"/>
  <c r="H48"/>
  <c r="G48"/>
  <c r="F48"/>
  <c r="E48"/>
  <c r="D48"/>
  <c r="C48"/>
  <c r="B48"/>
  <c r="R48" s="1"/>
  <c r="S45"/>
  <c r="R45"/>
  <c r="U45" s="1"/>
  <c r="P44"/>
  <c r="O44"/>
  <c r="N44"/>
  <c r="K44"/>
  <c r="I44"/>
  <c r="H44"/>
  <c r="G44"/>
  <c r="F44"/>
  <c r="D44"/>
  <c r="C44"/>
  <c r="S44" s="1"/>
  <c r="B44"/>
  <c r="S43"/>
  <c r="R43"/>
  <c r="U43" s="1"/>
  <c r="E43"/>
  <c r="R42"/>
  <c r="U42" s="1"/>
  <c r="S41"/>
  <c r="R41"/>
  <c r="U41" s="1"/>
  <c r="S40"/>
  <c r="R40"/>
  <c r="U40" s="1"/>
  <c r="S39"/>
  <c r="R39"/>
  <c r="U39" s="1"/>
  <c r="S38"/>
  <c r="R38"/>
  <c r="U38" s="1"/>
  <c r="J38"/>
  <c r="J44" s="1"/>
  <c r="R35"/>
  <c r="I35"/>
  <c r="S35" s="1"/>
  <c r="P34"/>
  <c r="N34"/>
  <c r="J34"/>
  <c r="H34"/>
  <c r="G34"/>
  <c r="F34"/>
  <c r="C34"/>
  <c r="E33"/>
  <c r="S33" s="1"/>
  <c r="D33"/>
  <c r="R33" s="1"/>
  <c r="U33" s="1"/>
  <c r="R32"/>
  <c r="O32"/>
  <c r="O34" s="1"/>
  <c r="K32"/>
  <c r="I32"/>
  <c r="S32" s="1"/>
  <c r="S31"/>
  <c r="R31"/>
  <c r="U31" s="1"/>
  <c r="K30"/>
  <c r="S30" s="1"/>
  <c r="D30"/>
  <c r="B30"/>
  <c r="E29"/>
  <c r="S29" s="1"/>
  <c r="D29"/>
  <c r="B29"/>
  <c r="R29" s="1"/>
  <c r="U29" s="1"/>
  <c r="S28"/>
  <c r="R28"/>
  <c r="U28" s="1"/>
  <c r="R27"/>
  <c r="M27"/>
  <c r="K27"/>
  <c r="E27"/>
  <c r="S27" s="1"/>
  <c r="R26"/>
  <c r="M26"/>
  <c r="S26" s="1"/>
  <c r="R25"/>
  <c r="E25"/>
  <c r="S25" s="1"/>
  <c r="R24"/>
  <c r="M24"/>
  <c r="S24" s="1"/>
  <c r="R23"/>
  <c r="M23"/>
  <c r="E23"/>
  <c r="S23" s="1"/>
  <c r="S22"/>
  <c r="R22"/>
  <c r="U22" s="1"/>
  <c r="R21"/>
  <c r="M21"/>
  <c r="M34" s="1"/>
  <c r="K21"/>
  <c r="K34" s="1"/>
  <c r="I21"/>
  <c r="I34" s="1"/>
  <c r="E21"/>
  <c r="S21" s="1"/>
  <c r="L20"/>
  <c r="L34" s="1"/>
  <c r="E20"/>
  <c r="D20"/>
  <c r="D34" s="1"/>
  <c r="B20"/>
  <c r="O17"/>
  <c r="O47" s="1"/>
  <c r="L17"/>
  <c r="L47" s="1"/>
  <c r="H17"/>
  <c r="H47" s="1"/>
  <c r="G17"/>
  <c r="G47" s="1"/>
  <c r="F17"/>
  <c r="F47" s="1"/>
  <c r="S16"/>
  <c r="P16"/>
  <c r="R15"/>
  <c r="K15"/>
  <c r="I15"/>
  <c r="E15"/>
  <c r="S15" s="1"/>
  <c r="S14"/>
  <c r="R14"/>
  <c r="U14" s="1"/>
  <c r="D14"/>
  <c r="S13"/>
  <c r="R13"/>
  <c r="U13" s="1"/>
  <c r="J12"/>
  <c r="R12" s="1"/>
  <c r="C12"/>
  <c r="S12" s="1"/>
  <c r="R11"/>
  <c r="C11"/>
  <c r="C17" s="1"/>
  <c r="S10"/>
  <c r="J10"/>
  <c r="D10"/>
  <c r="B10"/>
  <c r="S9"/>
  <c r="R9"/>
  <c r="U9" s="1"/>
  <c r="S8"/>
  <c r="R8"/>
  <c r="U8" s="1"/>
  <c r="M7"/>
  <c r="M17" s="1"/>
  <c r="K7"/>
  <c r="K17" s="1"/>
  <c r="K47" s="1"/>
  <c r="I7"/>
  <c r="E7"/>
  <c r="S7" s="1"/>
  <c r="D7"/>
  <c r="B7"/>
  <c r="R7" s="1"/>
  <c r="U7" s="1"/>
  <c r="P6"/>
  <c r="P17" s="1"/>
  <c r="P47" s="1"/>
  <c r="N6"/>
  <c r="N17" s="1"/>
  <c r="N47" s="1"/>
  <c r="J6"/>
  <c r="J17" s="1"/>
  <c r="J47" s="1"/>
  <c r="I6"/>
  <c r="I17" s="1"/>
  <c r="I47" s="1"/>
  <c r="E6"/>
  <c r="D6"/>
  <c r="D17" s="1"/>
  <c r="D47" s="1"/>
  <c r="B6"/>
  <c r="Q6" i="64" l="1"/>
  <c r="P4"/>
  <c r="U53" i="49"/>
  <c r="G9" i="58"/>
  <c r="R51" i="49"/>
  <c r="U51" s="1"/>
  <c r="G4" i="58"/>
  <c r="B17" i="49"/>
  <c r="B47" s="1"/>
  <c r="R47" s="1"/>
  <c r="E17"/>
  <c r="R10"/>
  <c r="U10" s="1"/>
  <c r="U12"/>
  <c r="B34"/>
  <c r="R34" s="1"/>
  <c r="E34"/>
  <c r="S20"/>
  <c r="R30"/>
  <c r="U30" s="1"/>
  <c r="O51" i="19"/>
  <c r="C68" s="1"/>
  <c r="F48" i="24"/>
  <c r="F49" s="1"/>
  <c r="D65" s="1"/>
  <c r="O49" i="23"/>
  <c r="C66" s="1"/>
  <c r="J48" i="24"/>
  <c r="J49" s="1"/>
  <c r="H65" s="1"/>
  <c r="O49" i="22"/>
  <c r="C66" s="1"/>
  <c r="I48" i="24"/>
  <c r="I49" s="1"/>
  <c r="G65" s="1"/>
  <c r="O51" i="18"/>
  <c r="C68" s="1"/>
  <c r="E48" i="24"/>
  <c r="E49" s="1"/>
  <c r="C65" s="1"/>
  <c r="O53" i="21"/>
  <c r="K56"/>
  <c r="U6" i="50"/>
  <c r="U7"/>
  <c r="U8"/>
  <c r="U12"/>
  <c r="U44"/>
  <c r="H47"/>
  <c r="R17"/>
  <c r="R47"/>
  <c r="U21"/>
  <c r="U23"/>
  <c r="U24"/>
  <c r="U26"/>
  <c r="U27"/>
  <c r="U32"/>
  <c r="U33"/>
  <c r="U35"/>
  <c r="S48"/>
  <c r="U48" s="1"/>
  <c r="I17"/>
  <c r="I47" s="1"/>
  <c r="S20"/>
  <c r="K34"/>
  <c r="K47" s="1"/>
  <c r="C47"/>
  <c r="R20"/>
  <c r="U20" s="1"/>
  <c r="S35"/>
  <c r="S45"/>
  <c r="U45" s="1"/>
  <c r="R17" i="49"/>
  <c r="U15"/>
  <c r="U23"/>
  <c r="U24"/>
  <c r="U25"/>
  <c r="U26"/>
  <c r="U27"/>
  <c r="U32"/>
  <c r="C47"/>
  <c r="S17"/>
  <c r="U21"/>
  <c r="S34"/>
  <c r="U35"/>
  <c r="R44"/>
  <c r="U44" s="1"/>
  <c r="R6"/>
  <c r="S11"/>
  <c r="U11" s="1"/>
  <c r="R20"/>
  <c r="U20" s="1"/>
  <c r="I48"/>
  <c r="S48" s="1"/>
  <c r="U48" s="1"/>
  <c r="S6"/>
  <c r="R6" i="64" l="1"/>
  <c r="Q4"/>
  <c r="D8" i="58"/>
  <c r="D13" s="1"/>
  <c r="C8"/>
  <c r="C13" s="1"/>
  <c r="G6"/>
  <c r="F8"/>
  <c r="F13" s="1"/>
  <c r="H8"/>
  <c r="H13" s="1"/>
  <c r="B8"/>
  <c r="B13" s="1"/>
  <c r="G10"/>
  <c r="E47" i="49"/>
  <c r="S47" s="1"/>
  <c r="U47" s="1"/>
  <c r="O56" i="21"/>
  <c r="C67" s="1"/>
  <c r="H53" i="24"/>
  <c r="H56" s="1"/>
  <c r="F66" s="1"/>
  <c r="S47" i="50"/>
  <c r="S34"/>
  <c r="U34" s="1"/>
  <c r="U47"/>
  <c r="S17"/>
  <c r="U17" s="1"/>
  <c r="U34" i="49"/>
  <c r="U17"/>
  <c r="U6"/>
  <c r="M35" i="57"/>
  <c r="L35"/>
  <c r="P42" s="1"/>
  <c r="P46" s="1"/>
  <c r="K35"/>
  <c r="N42" s="1"/>
  <c r="N46" s="1"/>
  <c r="J35"/>
  <c r="L42" s="1"/>
  <c r="L46" s="1"/>
  <c r="I35"/>
  <c r="J42" s="1"/>
  <c r="M34"/>
  <c r="L34"/>
  <c r="O41" s="1"/>
  <c r="K34"/>
  <c r="M41" s="1"/>
  <c r="J34"/>
  <c r="K41" s="1"/>
  <c r="I34"/>
  <c r="I41" s="1"/>
  <c r="J10" i="56"/>
  <c r="K10"/>
  <c r="L10"/>
  <c r="M10"/>
  <c r="I10"/>
  <c r="J9"/>
  <c r="K9"/>
  <c r="L9"/>
  <c r="M9"/>
  <c r="I9"/>
  <c r="F6" i="41"/>
  <c r="G6"/>
  <c r="H6"/>
  <c r="I6"/>
  <c r="C6"/>
  <c r="C110" i="55"/>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B110"/>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B111"/>
  <c r="N67" i="11"/>
  <c r="CJ28" i="41"/>
  <c r="F102" i="55"/>
  <c r="C102"/>
  <c r="B102"/>
  <c r="D101"/>
  <c r="D100"/>
  <c r="D99"/>
  <c r="D98"/>
  <c r="D97"/>
  <c r="D96"/>
  <c r="D95"/>
  <c r="D94"/>
  <c r="D93"/>
  <c r="D92"/>
  <c r="D91"/>
  <c r="D90"/>
  <c r="F87"/>
  <c r="C87"/>
  <c r="B87"/>
  <c r="D86"/>
  <c r="D85"/>
  <c r="D84"/>
  <c r="D83"/>
  <c r="D82"/>
  <c r="D81"/>
  <c r="D80"/>
  <c r="D79"/>
  <c r="D78"/>
  <c r="D77"/>
  <c r="D76"/>
  <c r="D75"/>
  <c r="F72"/>
  <c r="C72"/>
  <c r="B72"/>
  <c r="D71"/>
  <c r="D70"/>
  <c r="D69"/>
  <c r="D68"/>
  <c r="D67"/>
  <c r="D66"/>
  <c r="D65"/>
  <c r="D64"/>
  <c r="D63"/>
  <c r="D62"/>
  <c r="D61"/>
  <c r="D60"/>
  <c r="F57"/>
  <c r="C57"/>
  <c r="B57"/>
  <c r="D56"/>
  <c r="D55"/>
  <c r="D54"/>
  <c r="D53"/>
  <c r="D52"/>
  <c r="D51"/>
  <c r="D50"/>
  <c r="D49"/>
  <c r="D48"/>
  <c r="D47"/>
  <c r="D46"/>
  <c r="D45"/>
  <c r="F43"/>
  <c r="F29"/>
  <c r="F15"/>
  <c r="S6" i="64" l="1"/>
  <c r="R4"/>
  <c r="Q41" i="57"/>
  <c r="Q43"/>
  <c r="R42"/>
  <c r="R46" s="1"/>
  <c r="Q44"/>
  <c r="P41"/>
  <c r="L54" s="1"/>
  <c r="E5" i="41" s="1"/>
  <c r="M42" i="57"/>
  <c r="L41"/>
  <c r="J54" s="1"/>
  <c r="Q42"/>
  <c r="I42"/>
  <c r="D55" i="1"/>
  <c r="H55" s="1"/>
  <c r="O55" s="1"/>
  <c r="K55" i="24" s="1"/>
  <c r="D54" i="1"/>
  <c r="H54" s="1"/>
  <c r="O54" s="1"/>
  <c r="K54" i="24" s="1"/>
  <c r="D53" i="1"/>
  <c r="J53" s="1"/>
  <c r="D55" i="20"/>
  <c r="H55" s="1"/>
  <c r="O55" s="1"/>
  <c r="G55" i="24" s="1"/>
  <c r="D53" i="20"/>
  <c r="J53" s="1"/>
  <c r="D54"/>
  <c r="H54" s="1"/>
  <c r="D57" i="18"/>
  <c r="H57" s="1"/>
  <c r="O57" s="1"/>
  <c r="E55" i="24" s="1"/>
  <c r="D55" i="18"/>
  <c r="J55" s="1"/>
  <c r="D56"/>
  <c r="H56" s="1"/>
  <c r="D55" i="22"/>
  <c r="H55" s="1"/>
  <c r="O55" s="1"/>
  <c r="I55" i="24" s="1"/>
  <c r="D53" i="22"/>
  <c r="J53" s="1"/>
  <c r="D54"/>
  <c r="H54" s="1"/>
  <c r="D55" i="19"/>
  <c r="J55" s="1"/>
  <c r="D56"/>
  <c r="H56" s="1"/>
  <c r="D57"/>
  <c r="H57" s="1"/>
  <c r="O57" s="1"/>
  <c r="F55" i="24" s="1"/>
  <c r="G13" i="58"/>
  <c r="D57" i="55"/>
  <c r="B116"/>
  <c r="J41" i="57"/>
  <c r="I54" s="1"/>
  <c r="N41"/>
  <c r="K54" s="1"/>
  <c r="R41"/>
  <c r="O42"/>
  <c r="O46" s="1"/>
  <c r="K42"/>
  <c r="I55" s="1"/>
  <c r="D87" i="55"/>
  <c r="D72"/>
  <c r="D102"/>
  <c r="K55" i="11"/>
  <c r="K56"/>
  <c r="K57"/>
  <c r="K58"/>
  <c r="K59"/>
  <c r="K60"/>
  <c r="K61"/>
  <c r="K62"/>
  <c r="K63"/>
  <c r="K64"/>
  <c r="K65"/>
  <c r="K66"/>
  <c r="K67"/>
  <c r="K68"/>
  <c r="K69"/>
  <c r="K70"/>
  <c r="K71"/>
  <c r="K72"/>
  <c r="K73"/>
  <c r="K74"/>
  <c r="K75"/>
  <c r="K76"/>
  <c r="K77"/>
  <c r="K78"/>
  <c r="K79"/>
  <c r="K80"/>
  <c r="K81"/>
  <c r="K82"/>
  <c r="K83"/>
  <c r="K84"/>
  <c r="K85"/>
  <c r="K86"/>
  <c r="K54"/>
  <c r="C43" i="38"/>
  <c r="E56" i="1"/>
  <c r="D48"/>
  <c r="E48" s="1"/>
  <c r="G48"/>
  <c r="I48"/>
  <c r="L48"/>
  <c r="D45"/>
  <c r="J45" s="1"/>
  <c r="K45" s="1"/>
  <c r="O45" s="1"/>
  <c r="K45" i="24" s="1"/>
  <c r="D47" i="1"/>
  <c r="M47" s="1"/>
  <c r="N47" s="1"/>
  <c r="O47" s="1"/>
  <c r="K47" i="24" s="1"/>
  <c r="D46" i="1"/>
  <c r="M46" s="1"/>
  <c r="N46" s="1"/>
  <c r="O46" s="1"/>
  <c r="K46" i="24" s="1"/>
  <c r="L7" i="46"/>
  <c r="K7"/>
  <c r="J7"/>
  <c r="N7"/>
  <c r="M7"/>
  <c r="I7"/>
  <c r="H7"/>
  <c r="F33" i="1"/>
  <c r="I33"/>
  <c r="L33"/>
  <c r="F34"/>
  <c r="I34"/>
  <c r="L34"/>
  <c r="D35"/>
  <c r="I35"/>
  <c r="L35"/>
  <c r="D36"/>
  <c r="F36" s="1"/>
  <c r="I36"/>
  <c r="L36"/>
  <c r="M36" s="1"/>
  <c r="N36" s="1"/>
  <c r="D37"/>
  <c r="F37" s="1"/>
  <c r="I37"/>
  <c r="L37"/>
  <c r="C44" i="46"/>
  <c r="C43"/>
  <c r="C42"/>
  <c r="C41"/>
  <c r="C40"/>
  <c r="C39"/>
  <c r="N56"/>
  <c r="M56"/>
  <c r="L56"/>
  <c r="F56"/>
  <c r="J56" s="1"/>
  <c r="N55"/>
  <c r="M55"/>
  <c r="L55"/>
  <c r="F55"/>
  <c r="J55" s="1"/>
  <c r="N54"/>
  <c r="M54"/>
  <c r="L54"/>
  <c r="F54"/>
  <c r="J54" s="1"/>
  <c r="N53"/>
  <c r="M53"/>
  <c r="L53"/>
  <c r="K53"/>
  <c r="J53"/>
  <c r="I53"/>
  <c r="P53" s="1"/>
  <c r="H53"/>
  <c r="O53" s="1"/>
  <c r="N52"/>
  <c r="M52"/>
  <c r="L52"/>
  <c r="K52"/>
  <c r="J52"/>
  <c r="I52"/>
  <c r="P52" s="1"/>
  <c r="H52"/>
  <c r="O52" s="1"/>
  <c r="N51"/>
  <c r="M51"/>
  <c r="L51"/>
  <c r="F51"/>
  <c r="J51" s="1"/>
  <c r="N50"/>
  <c r="N59" s="1"/>
  <c r="M50"/>
  <c r="M59" s="1"/>
  <c r="L50"/>
  <c r="L59" s="1"/>
  <c r="F50"/>
  <c r="J50" s="1"/>
  <c r="J59" s="1"/>
  <c r="N49"/>
  <c r="M49"/>
  <c r="L49"/>
  <c r="F49"/>
  <c r="J49" s="1"/>
  <c r="N48"/>
  <c r="M48"/>
  <c r="L48"/>
  <c r="F48"/>
  <c r="J48" s="1"/>
  <c r="N47"/>
  <c r="M47"/>
  <c r="L47"/>
  <c r="F47"/>
  <c r="J47" s="1"/>
  <c r="N46"/>
  <c r="M46"/>
  <c r="L46"/>
  <c r="F46"/>
  <c r="J46" s="1"/>
  <c r="N45"/>
  <c r="M45"/>
  <c r="L45"/>
  <c r="F45"/>
  <c r="J45" s="1"/>
  <c r="N38"/>
  <c r="M38"/>
  <c r="L38"/>
  <c r="F38"/>
  <c r="J38" s="1"/>
  <c r="N37"/>
  <c r="M37"/>
  <c r="L37"/>
  <c r="F37"/>
  <c r="J37" s="1"/>
  <c r="N36"/>
  <c r="M36"/>
  <c r="L36"/>
  <c r="F36"/>
  <c r="J36" s="1"/>
  <c r="N35"/>
  <c r="M35"/>
  <c r="L35"/>
  <c r="F35"/>
  <c r="J35" s="1"/>
  <c r="N34"/>
  <c r="M34"/>
  <c r="L34"/>
  <c r="F34"/>
  <c r="J34" s="1"/>
  <c r="N33"/>
  <c r="M33"/>
  <c r="L33"/>
  <c r="F33"/>
  <c r="J33" s="1"/>
  <c r="N32"/>
  <c r="M32"/>
  <c r="L32"/>
  <c r="F32"/>
  <c r="J32" s="1"/>
  <c r="N31"/>
  <c r="M31"/>
  <c r="L31"/>
  <c r="F31"/>
  <c r="J31" s="1"/>
  <c r="N30"/>
  <c r="M30"/>
  <c r="L30"/>
  <c r="F30"/>
  <c r="J30" s="1"/>
  <c r="N29"/>
  <c r="M29"/>
  <c r="L29"/>
  <c r="F29"/>
  <c r="J29" s="1"/>
  <c r="N28"/>
  <c r="M28"/>
  <c r="L28"/>
  <c r="F28"/>
  <c r="J28" s="1"/>
  <c r="N27"/>
  <c r="M27"/>
  <c r="L27"/>
  <c r="F27"/>
  <c r="J27" s="1"/>
  <c r="D17"/>
  <c r="F17" s="1"/>
  <c r="D16"/>
  <c r="F16" s="1"/>
  <c r="D15"/>
  <c r="F15" s="1"/>
  <c r="D14"/>
  <c r="F14" s="1"/>
  <c r="D13"/>
  <c r="F13" s="1"/>
  <c r="D12"/>
  <c r="F12" s="1"/>
  <c r="D11"/>
  <c r="F11" s="1"/>
  <c r="CG29" i="41"/>
  <c r="CF29"/>
  <c r="CE29"/>
  <c r="CD29"/>
  <c r="CC29"/>
  <c r="CB29"/>
  <c r="CA29"/>
  <c r="BZ29"/>
  <c r="BY29"/>
  <c r="BX29"/>
  <c r="BW29"/>
  <c r="BU29"/>
  <c r="BT29"/>
  <c r="BS29"/>
  <c r="BR29"/>
  <c r="BQ29"/>
  <c r="BP29"/>
  <c r="BO29"/>
  <c r="BN29"/>
  <c r="BM29"/>
  <c r="BL29"/>
  <c r="BK29"/>
  <c r="BI29"/>
  <c r="BH29"/>
  <c r="BG29"/>
  <c r="BF29"/>
  <c r="BE29"/>
  <c r="BD29"/>
  <c r="BC29"/>
  <c r="BB29"/>
  <c r="BA29"/>
  <c r="AZ29"/>
  <c r="AY29"/>
  <c r="AW29"/>
  <c r="AV29"/>
  <c r="AU29"/>
  <c r="AT29"/>
  <c r="AS29"/>
  <c r="AR29"/>
  <c r="AQ29"/>
  <c r="AP29"/>
  <c r="AO29"/>
  <c r="AN29"/>
  <c r="AM29"/>
  <c r="AK29"/>
  <c r="AJ29"/>
  <c r="AI29"/>
  <c r="AH29"/>
  <c r="AG29"/>
  <c r="AF29"/>
  <c r="AE29"/>
  <c r="AD29"/>
  <c r="AC29"/>
  <c r="AB29"/>
  <c r="AA29"/>
  <c r="Y29"/>
  <c r="X29"/>
  <c r="W29"/>
  <c r="V29"/>
  <c r="U29"/>
  <c r="T29"/>
  <c r="S29"/>
  <c r="R29"/>
  <c r="Q29"/>
  <c r="P29"/>
  <c r="O29"/>
  <c r="M29"/>
  <c r="L29"/>
  <c r="K29"/>
  <c r="J29"/>
  <c r="I29"/>
  <c r="H29"/>
  <c r="G29"/>
  <c r="F29"/>
  <c r="E29"/>
  <c r="D29"/>
  <c r="C29"/>
  <c r="CH29"/>
  <c r="BV29"/>
  <c r="BJ29"/>
  <c r="AX29"/>
  <c r="AL29"/>
  <c r="Z29"/>
  <c r="N29"/>
  <c r="C33"/>
  <c r="CH33"/>
  <c r="CG33"/>
  <c r="CF33"/>
  <c r="CE33"/>
  <c r="CD33"/>
  <c r="CC33"/>
  <c r="CB33"/>
  <c r="CA33"/>
  <c r="BZ33"/>
  <c r="BY33"/>
  <c r="BX33"/>
  <c r="BW33"/>
  <c r="BV33"/>
  <c r="BU33"/>
  <c r="BT33"/>
  <c r="BS33"/>
  <c r="BR33"/>
  <c r="BQ33"/>
  <c r="BP33"/>
  <c r="BO33"/>
  <c r="BN33"/>
  <c r="BM33"/>
  <c r="BL33"/>
  <c r="BK33"/>
  <c r="BJ33"/>
  <c r="BI33"/>
  <c r="BH33"/>
  <c r="BG33"/>
  <c r="BF33"/>
  <c r="BE33"/>
  <c r="BD33"/>
  <c r="BC33"/>
  <c r="BB33"/>
  <c r="BA33"/>
  <c r="AZ33"/>
  <c r="AY33"/>
  <c r="AX33"/>
  <c r="AW33"/>
  <c r="AV33"/>
  <c r="AU33"/>
  <c r="AT33"/>
  <c r="AS33"/>
  <c r="AR33"/>
  <c r="AQ33"/>
  <c r="AP33"/>
  <c r="AO33"/>
  <c r="AN33"/>
  <c r="AM33"/>
  <c r="AL33"/>
  <c r="AK33"/>
  <c r="AJ33"/>
  <c r="AI33"/>
  <c r="AH33"/>
  <c r="AG33"/>
  <c r="AF33"/>
  <c r="AE33"/>
  <c r="AD33"/>
  <c r="AC33"/>
  <c r="AB33"/>
  <c r="AA33"/>
  <c r="Z33"/>
  <c r="Y33"/>
  <c r="X33"/>
  <c r="W33"/>
  <c r="V33"/>
  <c r="U33"/>
  <c r="T33"/>
  <c r="S33"/>
  <c r="R33"/>
  <c r="Q33"/>
  <c r="P33"/>
  <c r="O33"/>
  <c r="N33"/>
  <c r="M33"/>
  <c r="L33"/>
  <c r="K33"/>
  <c r="J33"/>
  <c r="I33"/>
  <c r="H33"/>
  <c r="G33"/>
  <c r="F33"/>
  <c r="E33"/>
  <c r="D33"/>
  <c r="B19" i="8"/>
  <c r="B18"/>
  <c r="B17"/>
  <c r="B13"/>
  <c r="B12"/>
  <c r="B11"/>
  <c r="F19"/>
  <c r="H19" s="1"/>
  <c r="F18"/>
  <c r="H18" s="1"/>
  <c r="F17"/>
  <c r="H17" s="1"/>
  <c r="F13"/>
  <c r="H13" s="1"/>
  <c r="E16" i="22" s="1"/>
  <c r="F12" i="8"/>
  <c r="H12" s="1"/>
  <c r="E15" i="22" s="1"/>
  <c r="F11" i="8"/>
  <c r="H11" s="1"/>
  <c r="E14" i="22" s="1"/>
  <c r="F7" i="8"/>
  <c r="F6"/>
  <c r="F5"/>
  <c r="B7"/>
  <c r="B6"/>
  <c r="B5"/>
  <c r="C30" i="41"/>
  <c r="CH30"/>
  <c r="CG30"/>
  <c r="CF30"/>
  <c r="CE30"/>
  <c r="CD30"/>
  <c r="CC30"/>
  <c r="CB30"/>
  <c r="CA30"/>
  <c r="BZ30"/>
  <c r="BY30"/>
  <c r="BX30"/>
  <c r="BW30"/>
  <c r="BV30"/>
  <c r="BU30"/>
  <c r="BT30"/>
  <c r="BS30"/>
  <c r="BR30"/>
  <c r="BQ30"/>
  <c r="BP30"/>
  <c r="BO30"/>
  <c r="BN30"/>
  <c r="BM30"/>
  <c r="BL30"/>
  <c r="BK30"/>
  <c r="BJ30"/>
  <c r="BI30"/>
  <c r="BH30"/>
  <c r="BG30"/>
  <c r="BF30"/>
  <c r="BE30"/>
  <c r="BD30"/>
  <c r="BC30"/>
  <c r="BB30"/>
  <c r="BA30"/>
  <c r="AZ30"/>
  <c r="AY30"/>
  <c r="AX30"/>
  <c r="AW30"/>
  <c r="AV30"/>
  <c r="AU30"/>
  <c r="AT30"/>
  <c r="AS30"/>
  <c r="AR30"/>
  <c r="AQ30"/>
  <c r="AP30"/>
  <c r="AO30"/>
  <c r="AN30"/>
  <c r="AM30"/>
  <c r="AL30"/>
  <c r="AK30"/>
  <c r="AJ30"/>
  <c r="AI30"/>
  <c r="AH30"/>
  <c r="AG30"/>
  <c r="AF30"/>
  <c r="AE30"/>
  <c r="AD30"/>
  <c r="AC30"/>
  <c r="AB30"/>
  <c r="AA30"/>
  <c r="Z30"/>
  <c r="Y30"/>
  <c r="X30"/>
  <c r="W30"/>
  <c r="V30"/>
  <c r="U30"/>
  <c r="T30"/>
  <c r="S30"/>
  <c r="R30"/>
  <c r="Q30"/>
  <c r="P30"/>
  <c r="O30"/>
  <c r="N30"/>
  <c r="M30"/>
  <c r="L30"/>
  <c r="K30"/>
  <c r="J30"/>
  <c r="I30"/>
  <c r="H30"/>
  <c r="G30"/>
  <c r="F30"/>
  <c r="E30"/>
  <c r="D30"/>
  <c r="CH32"/>
  <c r="CG32"/>
  <c r="CF32"/>
  <c r="CE32"/>
  <c r="CD32"/>
  <c r="CC32"/>
  <c r="CB32"/>
  <c r="CA32"/>
  <c r="BZ32"/>
  <c r="BY32"/>
  <c r="BX32"/>
  <c r="BW32"/>
  <c r="CH31"/>
  <c r="CG31"/>
  <c r="CF31"/>
  <c r="CE31"/>
  <c r="CD31"/>
  <c r="CC31"/>
  <c r="CB31"/>
  <c r="CA31"/>
  <c r="BZ31"/>
  <c r="BY31"/>
  <c r="BX31"/>
  <c r="BW31"/>
  <c r="BV32"/>
  <c r="BU32"/>
  <c r="BT32"/>
  <c r="BS32"/>
  <c r="BR32"/>
  <c r="BQ32"/>
  <c r="BP32"/>
  <c r="BO32"/>
  <c r="BN32"/>
  <c r="BM32"/>
  <c r="BL32"/>
  <c r="BK32"/>
  <c r="BV31"/>
  <c r="BU31"/>
  <c r="BT31"/>
  <c r="BS31"/>
  <c r="BR31"/>
  <c r="BQ31"/>
  <c r="BP31"/>
  <c r="BO31"/>
  <c r="BN31"/>
  <c r="BM31"/>
  <c r="BL31"/>
  <c r="BK31"/>
  <c r="BJ32"/>
  <c r="BI32"/>
  <c r="BH32"/>
  <c r="BG32"/>
  <c r="BF32"/>
  <c r="BE32"/>
  <c r="BD32"/>
  <c r="BC32"/>
  <c r="BB32"/>
  <c r="BA32"/>
  <c r="AZ32"/>
  <c r="AY32"/>
  <c r="BJ31"/>
  <c r="BI31"/>
  <c r="BH31"/>
  <c r="BG31"/>
  <c r="BF31"/>
  <c r="BE31"/>
  <c r="BD31"/>
  <c r="BC31"/>
  <c r="BB31"/>
  <c r="BA31"/>
  <c r="AZ31"/>
  <c r="AY31"/>
  <c r="AX32"/>
  <c r="AW32"/>
  <c r="AV32"/>
  <c r="AU32"/>
  <c r="AT32"/>
  <c r="AS32"/>
  <c r="AR32"/>
  <c r="AQ32"/>
  <c r="AP32"/>
  <c r="AO32"/>
  <c r="AN32"/>
  <c r="AM32"/>
  <c r="AX31"/>
  <c r="AW31"/>
  <c r="AV31"/>
  <c r="AU31"/>
  <c r="AT31"/>
  <c r="AS31"/>
  <c r="AR31"/>
  <c r="AQ31"/>
  <c r="AP31"/>
  <c r="AO31"/>
  <c r="AN31"/>
  <c r="AM31"/>
  <c r="AL32"/>
  <c r="AK32"/>
  <c r="AJ32"/>
  <c r="AI32"/>
  <c r="AH32"/>
  <c r="AG32"/>
  <c r="AF32"/>
  <c r="AE32"/>
  <c r="AD32"/>
  <c r="AC32"/>
  <c r="AB32"/>
  <c r="AA32"/>
  <c r="AL31"/>
  <c r="AK31"/>
  <c r="AJ31"/>
  <c r="AI31"/>
  <c r="AH31"/>
  <c r="AG31"/>
  <c r="AF31"/>
  <c r="AE31"/>
  <c r="AD31"/>
  <c r="AC31"/>
  <c r="AB31"/>
  <c r="AA31"/>
  <c r="Z32"/>
  <c r="Y32"/>
  <c r="X32"/>
  <c r="W32"/>
  <c r="V32"/>
  <c r="U32"/>
  <c r="T32"/>
  <c r="S32"/>
  <c r="R32"/>
  <c r="Q32"/>
  <c r="P32"/>
  <c r="O32"/>
  <c r="Z31"/>
  <c r="Y31"/>
  <c r="X31"/>
  <c r="W31"/>
  <c r="V31"/>
  <c r="U31"/>
  <c r="T31"/>
  <c r="S31"/>
  <c r="R31"/>
  <c r="Q31"/>
  <c r="P31"/>
  <c r="O31"/>
  <c r="N32"/>
  <c r="M32"/>
  <c r="L32"/>
  <c r="K32"/>
  <c r="J32"/>
  <c r="I32"/>
  <c r="H32"/>
  <c r="G32"/>
  <c r="F32"/>
  <c r="E32"/>
  <c r="D32"/>
  <c r="C32"/>
  <c r="N31"/>
  <c r="M31"/>
  <c r="L31"/>
  <c r="K31"/>
  <c r="J31"/>
  <c r="I31"/>
  <c r="H31"/>
  <c r="G31"/>
  <c r="F31"/>
  <c r="E31"/>
  <c r="D31"/>
  <c r="C31"/>
  <c r="H9"/>
  <c r="H19"/>
  <c r="H16"/>
  <c r="H23" s="1"/>
  <c r="H15"/>
  <c r="H7"/>
  <c r="H8" s="1"/>
  <c r="F9"/>
  <c r="F19"/>
  <c r="F16"/>
  <c r="F23" s="1"/>
  <c r="F15"/>
  <c r="F7"/>
  <c r="F8" s="1"/>
  <c r="E19"/>
  <c r="E16"/>
  <c r="E15"/>
  <c r="E7"/>
  <c r="E9"/>
  <c r="D19"/>
  <c r="D16"/>
  <c r="D15"/>
  <c r="D7"/>
  <c r="D9"/>
  <c r="C19"/>
  <c r="C16"/>
  <c r="C23" s="1"/>
  <c r="C15"/>
  <c r="C7"/>
  <c r="C8" s="1"/>
  <c r="C9"/>
  <c r="I9"/>
  <c r="I7"/>
  <c r="I8" s="1"/>
  <c r="I15"/>
  <c r="I16"/>
  <c r="I23" s="1"/>
  <c r="I19"/>
  <c r="R32" i="40"/>
  <c r="R31"/>
  <c r="D25" i="19"/>
  <c r="E25" s="1"/>
  <c r="F24" i="39" s="1"/>
  <c r="G25" i="19"/>
  <c r="I25"/>
  <c r="L25"/>
  <c r="D24"/>
  <c r="D25" i="18"/>
  <c r="E25" s="1"/>
  <c r="E24" i="39" s="1"/>
  <c r="G25" i="18"/>
  <c r="I25"/>
  <c r="L25"/>
  <c r="D24"/>
  <c r="G22"/>
  <c r="G23"/>
  <c r="G24"/>
  <c r="G27"/>
  <c r="G28"/>
  <c r="G29"/>
  <c r="G30"/>
  <c r="G21"/>
  <c r="G22" i="19"/>
  <c r="G23"/>
  <c r="G24"/>
  <c r="G27"/>
  <c r="G28"/>
  <c r="G29"/>
  <c r="G30"/>
  <c r="G21"/>
  <c r="G22" i="20"/>
  <c r="G23"/>
  <c r="G24"/>
  <c r="G25"/>
  <c r="G26"/>
  <c r="G27"/>
  <c r="G28"/>
  <c r="G21"/>
  <c r="G22" i="21"/>
  <c r="G23"/>
  <c r="G24"/>
  <c r="G25"/>
  <c r="G26"/>
  <c r="G27"/>
  <c r="G28"/>
  <c r="G21"/>
  <c r="G22" i="22"/>
  <c r="G23"/>
  <c r="G24"/>
  <c r="G25"/>
  <c r="G26"/>
  <c r="G27"/>
  <c r="G28"/>
  <c r="G21"/>
  <c r="G22" i="23"/>
  <c r="G23"/>
  <c r="G24"/>
  <c r="G25"/>
  <c r="G26"/>
  <c r="G27"/>
  <c r="G28"/>
  <c r="G21"/>
  <c r="F38" i="18"/>
  <c r="E38" s="1"/>
  <c r="E36" i="39" s="1"/>
  <c r="F37" i="18"/>
  <c r="E37" s="1"/>
  <c r="E35" i="39" s="1"/>
  <c r="F36" i="18"/>
  <c r="E36" s="1"/>
  <c r="E34" i="39" s="1"/>
  <c r="F35" i="18"/>
  <c r="E35" s="1"/>
  <c r="F38" i="19"/>
  <c r="E38" s="1"/>
  <c r="F36" i="39" s="1"/>
  <c r="F37" i="19"/>
  <c r="E37" s="1"/>
  <c r="F35" i="39" s="1"/>
  <c r="F36" i="19"/>
  <c r="E36" s="1"/>
  <c r="F34" i="39" s="1"/>
  <c r="F35" i="19"/>
  <c r="E35" s="1"/>
  <c r="F36" i="20"/>
  <c r="E36" s="1"/>
  <c r="G36" i="39" s="1"/>
  <c r="F35" i="20"/>
  <c r="E35" s="1"/>
  <c r="G35" i="39" s="1"/>
  <c r="F34" i="20"/>
  <c r="E34" s="1"/>
  <c r="G34" i="39" s="1"/>
  <c r="F33" i="20"/>
  <c r="E33" s="1"/>
  <c r="F33" i="21"/>
  <c r="E33" s="1"/>
  <c r="F36"/>
  <c r="E36" s="1"/>
  <c r="H36" i="39" s="1"/>
  <c r="F35" i="21"/>
  <c r="E35" s="1"/>
  <c r="H35" i="39" s="1"/>
  <c r="D22" i="18"/>
  <c r="D23"/>
  <c r="D21"/>
  <c r="D22" i="19"/>
  <c r="D23"/>
  <c r="D21"/>
  <c r="D22" i="20"/>
  <c r="E22" s="1"/>
  <c r="D23"/>
  <c r="E23" s="1"/>
  <c r="D24"/>
  <c r="E24" s="1"/>
  <c r="D21"/>
  <c r="E21" s="1"/>
  <c r="D22" i="21"/>
  <c r="E22" s="1"/>
  <c r="D23"/>
  <c r="E23" s="1"/>
  <c r="D24"/>
  <c r="E24" s="1"/>
  <c r="D21"/>
  <c r="E21" s="1"/>
  <c r="D24" i="22"/>
  <c r="E24" s="1"/>
  <c r="D23"/>
  <c r="E23" s="1"/>
  <c r="D22"/>
  <c r="E22" s="1"/>
  <c r="D21"/>
  <c r="E21" s="1"/>
  <c r="D28" i="18"/>
  <c r="D29"/>
  <c r="D30"/>
  <c r="D27"/>
  <c r="D28" i="19"/>
  <c r="D29"/>
  <c r="D30"/>
  <c r="D27"/>
  <c r="D26" i="20"/>
  <c r="E26" s="1"/>
  <c r="D27"/>
  <c r="E27" s="1"/>
  <c r="D28"/>
  <c r="E28" s="1"/>
  <c r="D25"/>
  <c r="E25" s="1"/>
  <c r="D27" i="21"/>
  <c r="E27" s="1"/>
  <c r="D28"/>
  <c r="E28" s="1"/>
  <c r="D25"/>
  <c r="E25" s="1"/>
  <c r="D26" i="22"/>
  <c r="E26" s="1"/>
  <c r="D27"/>
  <c r="E27" s="1"/>
  <c r="D28"/>
  <c r="E28" s="1"/>
  <c r="D25"/>
  <c r="E25" s="1"/>
  <c r="D27" i="23"/>
  <c r="E27" s="1"/>
  <c r="D28"/>
  <c r="E28" s="1"/>
  <c r="D26"/>
  <c r="E26" s="1"/>
  <c r="D25"/>
  <c r="E25" s="1"/>
  <c r="C50" i="11"/>
  <c r="C49"/>
  <c r="C48"/>
  <c r="C47"/>
  <c r="C46"/>
  <c r="C50" i="38"/>
  <c r="C49"/>
  <c r="C48"/>
  <c r="C47"/>
  <c r="C46"/>
  <c r="C50" i="37"/>
  <c r="C49"/>
  <c r="C48"/>
  <c r="C47"/>
  <c r="C46"/>
  <c r="C50" i="36"/>
  <c r="C49"/>
  <c r="C48"/>
  <c r="C47"/>
  <c r="D26" i="21" s="1"/>
  <c r="E26" s="1"/>
  <c r="C46" i="36"/>
  <c r="C50" i="35"/>
  <c r="C49"/>
  <c r="C48"/>
  <c r="C47"/>
  <c r="C46"/>
  <c r="C50" i="34"/>
  <c r="C49"/>
  <c r="C48"/>
  <c r="C47"/>
  <c r="C46"/>
  <c r="C48" i="33"/>
  <c r="C49"/>
  <c r="C50"/>
  <c r="C47"/>
  <c r="C46"/>
  <c r="BS29"/>
  <c r="BS16"/>
  <c r="BM29"/>
  <c r="BM16"/>
  <c r="BG29"/>
  <c r="BG16"/>
  <c r="BA29"/>
  <c r="BA16"/>
  <c r="AU29"/>
  <c r="AU16"/>
  <c r="AO29"/>
  <c r="AO16"/>
  <c r="AI29"/>
  <c r="AI16"/>
  <c r="AC29"/>
  <c r="AC16"/>
  <c r="W29"/>
  <c r="W16"/>
  <c r="Q29"/>
  <c r="Q16"/>
  <c r="K29"/>
  <c r="K16"/>
  <c r="E29"/>
  <c r="E16"/>
  <c r="BS29" i="34"/>
  <c r="BS16"/>
  <c r="BM29"/>
  <c r="BM16"/>
  <c r="BG29"/>
  <c r="BG16"/>
  <c r="BA29"/>
  <c r="BA16"/>
  <c r="AU29"/>
  <c r="AU16"/>
  <c r="AO29"/>
  <c r="AO16"/>
  <c r="AI29"/>
  <c r="AI16"/>
  <c r="AC29"/>
  <c r="AC16"/>
  <c r="W29"/>
  <c r="W16"/>
  <c r="Q29"/>
  <c r="Q16"/>
  <c r="K29"/>
  <c r="K16"/>
  <c r="E29"/>
  <c r="E16"/>
  <c r="BS29" i="35"/>
  <c r="BS16"/>
  <c r="BM29"/>
  <c r="BM16"/>
  <c r="BG29"/>
  <c r="BG16"/>
  <c r="BA29"/>
  <c r="BA16"/>
  <c r="AU29"/>
  <c r="AU16"/>
  <c r="AO29"/>
  <c r="AO16"/>
  <c r="AI29"/>
  <c r="AI16"/>
  <c r="AC29"/>
  <c r="AC16"/>
  <c r="W29"/>
  <c r="W16"/>
  <c r="Q29"/>
  <c r="Q16"/>
  <c r="K29"/>
  <c r="K16"/>
  <c r="E29"/>
  <c r="E16"/>
  <c r="BS29" i="36"/>
  <c r="BS16"/>
  <c r="BM29"/>
  <c r="BM16"/>
  <c r="BG29"/>
  <c r="BG16"/>
  <c r="BA29"/>
  <c r="BA16"/>
  <c r="AU29"/>
  <c r="AU16"/>
  <c r="AO29"/>
  <c r="AO16"/>
  <c r="AI29"/>
  <c r="AI16"/>
  <c r="AC29"/>
  <c r="AC16"/>
  <c r="W29"/>
  <c r="W16"/>
  <c r="Q29"/>
  <c r="Q16"/>
  <c r="K29"/>
  <c r="K16"/>
  <c r="E29"/>
  <c r="E16"/>
  <c r="BS29" i="37"/>
  <c r="BS16"/>
  <c r="BM29"/>
  <c r="BM16"/>
  <c r="BG29"/>
  <c r="BG16"/>
  <c r="BA29"/>
  <c r="BA16"/>
  <c r="AU29"/>
  <c r="AU16"/>
  <c r="AO29"/>
  <c r="AO16"/>
  <c r="AI29"/>
  <c r="AI16"/>
  <c r="AC29"/>
  <c r="AC16"/>
  <c r="W29"/>
  <c r="W16"/>
  <c r="Q29"/>
  <c r="Q16"/>
  <c r="K29"/>
  <c r="K16"/>
  <c r="E29"/>
  <c r="E16"/>
  <c r="AI29" i="38"/>
  <c r="AI16"/>
  <c r="AC29"/>
  <c r="AC16"/>
  <c r="W29"/>
  <c r="W16"/>
  <c r="Q29"/>
  <c r="Q16"/>
  <c r="K29"/>
  <c r="K16"/>
  <c r="E29"/>
  <c r="E16"/>
  <c r="BQ44" i="33"/>
  <c r="BK44"/>
  <c r="BE44"/>
  <c r="AY44"/>
  <c r="AS44"/>
  <c r="AM44"/>
  <c r="AG44"/>
  <c r="AA44"/>
  <c r="U44"/>
  <c r="O44"/>
  <c r="I44"/>
  <c r="C44"/>
  <c r="BQ43"/>
  <c r="BK43"/>
  <c r="BE43"/>
  <c r="AY43"/>
  <c r="AS43"/>
  <c r="AM43"/>
  <c r="AG43"/>
  <c r="AA43"/>
  <c r="U43"/>
  <c r="O43"/>
  <c r="I43"/>
  <c r="C43"/>
  <c r="BQ42"/>
  <c r="BK42"/>
  <c r="BE42"/>
  <c r="AY42"/>
  <c r="AS42"/>
  <c r="AM42"/>
  <c r="AG42"/>
  <c r="AA42"/>
  <c r="U42"/>
  <c r="O42"/>
  <c r="I42"/>
  <c r="C42"/>
  <c r="BQ41"/>
  <c r="BK41"/>
  <c r="BE41"/>
  <c r="AY41"/>
  <c r="AS41"/>
  <c r="AM41"/>
  <c r="AG41"/>
  <c r="AA41"/>
  <c r="U41"/>
  <c r="O41"/>
  <c r="I41"/>
  <c r="C41"/>
  <c r="BQ40"/>
  <c r="BK40"/>
  <c r="BE40"/>
  <c r="AY40"/>
  <c r="AS40"/>
  <c r="AM40"/>
  <c r="AG40"/>
  <c r="AA40"/>
  <c r="U40"/>
  <c r="O40"/>
  <c r="I40"/>
  <c r="C40"/>
  <c r="BQ44" i="34"/>
  <c r="BK44"/>
  <c r="BE44"/>
  <c r="AY44"/>
  <c r="AS44"/>
  <c r="AM44"/>
  <c r="AG44"/>
  <c r="AA44"/>
  <c r="U44"/>
  <c r="O44"/>
  <c r="I44"/>
  <c r="C44"/>
  <c r="BQ43"/>
  <c r="BK43"/>
  <c r="BE43"/>
  <c r="AY43"/>
  <c r="AS43"/>
  <c r="AM43"/>
  <c r="AG43"/>
  <c r="AA43"/>
  <c r="U43"/>
  <c r="O43"/>
  <c r="I43"/>
  <c r="C43"/>
  <c r="BQ42"/>
  <c r="BK42"/>
  <c r="BE42"/>
  <c r="AY42"/>
  <c r="AS42"/>
  <c r="AM42"/>
  <c r="AG42"/>
  <c r="AA42"/>
  <c r="U42"/>
  <c r="O42"/>
  <c r="I42"/>
  <c r="C42"/>
  <c r="BQ41"/>
  <c r="BK41"/>
  <c r="BE41"/>
  <c r="AY41"/>
  <c r="AS41"/>
  <c r="AM41"/>
  <c r="AG41"/>
  <c r="AA41"/>
  <c r="U41"/>
  <c r="O41"/>
  <c r="I41"/>
  <c r="C41"/>
  <c r="BQ40"/>
  <c r="BK40"/>
  <c r="BE40"/>
  <c r="AY40"/>
  <c r="AS40"/>
  <c r="AM40"/>
  <c r="AG40"/>
  <c r="AA40"/>
  <c r="U40"/>
  <c r="O40"/>
  <c r="I40"/>
  <c r="C40"/>
  <c r="BQ44" i="35"/>
  <c r="BK44"/>
  <c r="BE44"/>
  <c r="AY44"/>
  <c r="AS44"/>
  <c r="AM44"/>
  <c r="AG44"/>
  <c r="AA44"/>
  <c r="U44"/>
  <c r="O44"/>
  <c r="I44"/>
  <c r="C44"/>
  <c r="BQ43"/>
  <c r="BK43"/>
  <c r="BE43"/>
  <c r="AY43"/>
  <c r="AS43"/>
  <c r="AM43"/>
  <c r="AG43"/>
  <c r="AA43"/>
  <c r="U43"/>
  <c r="O43"/>
  <c r="I43"/>
  <c r="C43"/>
  <c r="BQ42"/>
  <c r="BK42"/>
  <c r="BE42"/>
  <c r="AY42"/>
  <c r="AS42"/>
  <c r="AM42"/>
  <c r="AG42"/>
  <c r="AA42"/>
  <c r="U42"/>
  <c r="O42"/>
  <c r="I42"/>
  <c r="C42"/>
  <c r="BQ41"/>
  <c r="BK41"/>
  <c r="BE41"/>
  <c r="AY41"/>
  <c r="AS41"/>
  <c r="AM41"/>
  <c r="AG41"/>
  <c r="AA41"/>
  <c r="U41"/>
  <c r="O41"/>
  <c r="I41"/>
  <c r="C41"/>
  <c r="BQ40"/>
  <c r="BK40"/>
  <c r="BE40"/>
  <c r="AY40"/>
  <c r="AS40"/>
  <c r="AM40"/>
  <c r="AG40"/>
  <c r="AA40"/>
  <c r="U40"/>
  <c r="O40"/>
  <c r="I40"/>
  <c r="C40"/>
  <c r="BQ44" i="36"/>
  <c r="BK44"/>
  <c r="BE44"/>
  <c r="AY44"/>
  <c r="AS44"/>
  <c r="AM44"/>
  <c r="AG44"/>
  <c r="AA44"/>
  <c r="U44"/>
  <c r="O44"/>
  <c r="I44"/>
  <c r="C44"/>
  <c r="BQ43"/>
  <c r="BK43"/>
  <c r="BE43"/>
  <c r="AY43"/>
  <c r="AS43"/>
  <c r="AM43"/>
  <c r="AG43"/>
  <c r="AA43"/>
  <c r="U43"/>
  <c r="O43"/>
  <c r="I43"/>
  <c r="C43"/>
  <c r="BQ42"/>
  <c r="BK42"/>
  <c r="BE42"/>
  <c r="AY42"/>
  <c r="AS42"/>
  <c r="AM42"/>
  <c r="AG42"/>
  <c r="AA42"/>
  <c r="U42"/>
  <c r="O42"/>
  <c r="I42"/>
  <c r="C42"/>
  <c r="BQ41"/>
  <c r="BK41"/>
  <c r="BE41"/>
  <c r="AY41"/>
  <c r="AS41"/>
  <c r="AM41"/>
  <c r="AG41"/>
  <c r="AA41"/>
  <c r="U41"/>
  <c r="O41"/>
  <c r="I41"/>
  <c r="BQ40"/>
  <c r="BK40"/>
  <c r="BE40"/>
  <c r="AY40"/>
  <c r="AS40"/>
  <c r="AM40"/>
  <c r="AG40"/>
  <c r="AA40"/>
  <c r="U40"/>
  <c r="O40"/>
  <c r="I40"/>
  <c r="C40"/>
  <c r="BQ44" i="37"/>
  <c r="BK44"/>
  <c r="BE44"/>
  <c r="AY44"/>
  <c r="AS44"/>
  <c r="AM44"/>
  <c r="AG44"/>
  <c r="AA44"/>
  <c r="U44"/>
  <c r="O44"/>
  <c r="I44"/>
  <c r="C44"/>
  <c r="BQ43"/>
  <c r="BK43"/>
  <c r="BE43"/>
  <c r="AY43"/>
  <c r="AS43"/>
  <c r="AM43"/>
  <c r="AG43"/>
  <c r="AA43"/>
  <c r="U43"/>
  <c r="O43"/>
  <c r="I43"/>
  <c r="C43"/>
  <c r="BQ42"/>
  <c r="BK42"/>
  <c r="BE42"/>
  <c r="AY42"/>
  <c r="AS42"/>
  <c r="AM42"/>
  <c r="AG42"/>
  <c r="AA42"/>
  <c r="U42"/>
  <c r="O42"/>
  <c r="I42"/>
  <c r="C42"/>
  <c r="BQ41"/>
  <c r="BK41"/>
  <c r="BE41"/>
  <c r="AY41"/>
  <c r="AS41"/>
  <c r="AM41"/>
  <c r="AG41"/>
  <c r="AA41"/>
  <c r="U41"/>
  <c r="O41"/>
  <c r="I41"/>
  <c r="C41"/>
  <c r="BQ40"/>
  <c r="BK40"/>
  <c r="BE40"/>
  <c r="AY40"/>
  <c r="AS40"/>
  <c r="AM40"/>
  <c r="AG40"/>
  <c r="AA40"/>
  <c r="U40"/>
  <c r="O40"/>
  <c r="I40"/>
  <c r="C40"/>
  <c r="BQ44" i="38"/>
  <c r="BK44"/>
  <c r="BE44"/>
  <c r="AY44"/>
  <c r="AS44"/>
  <c r="AM44"/>
  <c r="AG44"/>
  <c r="AA44"/>
  <c r="U44"/>
  <c r="O44"/>
  <c r="I44"/>
  <c r="C44"/>
  <c r="BQ43"/>
  <c r="BK43"/>
  <c r="BE43"/>
  <c r="AY43"/>
  <c r="AS43"/>
  <c r="AM43"/>
  <c r="AG43"/>
  <c r="AA43"/>
  <c r="U43"/>
  <c r="O43"/>
  <c r="I43"/>
  <c r="BQ42"/>
  <c r="BK42"/>
  <c r="BE42"/>
  <c r="AY42"/>
  <c r="AS42"/>
  <c r="AM42"/>
  <c r="AG42"/>
  <c r="AA42"/>
  <c r="U42"/>
  <c r="O42"/>
  <c r="I42"/>
  <c r="C42"/>
  <c r="BQ41"/>
  <c r="BK41"/>
  <c r="BE41"/>
  <c r="AY41"/>
  <c r="AS41"/>
  <c r="AM41"/>
  <c r="AG41"/>
  <c r="AA41"/>
  <c r="U41"/>
  <c r="O41"/>
  <c r="I41"/>
  <c r="C41"/>
  <c r="BQ40"/>
  <c r="BK40"/>
  <c r="BE40"/>
  <c r="AY40"/>
  <c r="AS40"/>
  <c r="AM40"/>
  <c r="AG40"/>
  <c r="AA40"/>
  <c r="U40"/>
  <c r="O40"/>
  <c r="I40"/>
  <c r="C40"/>
  <c r="D24" i="23"/>
  <c r="E24" s="1"/>
  <c r="D23"/>
  <c r="E23" s="1"/>
  <c r="D22"/>
  <c r="E22" s="1"/>
  <c r="D21"/>
  <c r="E21" s="1"/>
  <c r="B72" s="1"/>
  <c r="F35" i="1" l="1"/>
  <c r="E35" s="1"/>
  <c r="K45" i="39"/>
  <c r="I55" s="1"/>
  <c r="B66" i="1"/>
  <c r="B72" i="22"/>
  <c r="B72" i="21"/>
  <c r="B72" i="20"/>
  <c r="B71" i="22"/>
  <c r="E33" i="39"/>
  <c r="E8" i="41"/>
  <c r="D23"/>
  <c r="D6" s="1"/>
  <c r="E23"/>
  <c r="E6"/>
  <c r="T6" i="64"/>
  <c r="S4"/>
  <c r="L55" i="57"/>
  <c r="Q46"/>
  <c r="J55"/>
  <c r="M46"/>
  <c r="K55"/>
  <c r="D5" i="41"/>
  <c r="D8" s="1"/>
  <c r="D10" s="1"/>
  <c r="D12" s="1"/>
  <c r="D9" i="1"/>
  <c r="D9" i="19"/>
  <c r="E9" s="1"/>
  <c r="D9" i="23"/>
  <c r="D9" i="20"/>
  <c r="E9" s="1"/>
  <c r="B64" s="1"/>
  <c r="D9" i="21"/>
  <c r="E9" s="1"/>
  <c r="B64" s="1"/>
  <c r="I10" i="41"/>
  <c r="I12" s="1"/>
  <c r="F10"/>
  <c r="F12" s="1"/>
  <c r="C10"/>
  <c r="E10"/>
  <c r="E12" s="1"/>
  <c r="H9" i="39"/>
  <c r="D9" i="18"/>
  <c r="E9" s="1"/>
  <c r="G9" i="39"/>
  <c r="K55" i="19"/>
  <c r="J58"/>
  <c r="K53" i="22"/>
  <c r="J56"/>
  <c r="H58" i="18"/>
  <c r="O56"/>
  <c r="E54" i="24" s="1"/>
  <c r="J56" i="20"/>
  <c r="K53"/>
  <c r="D53" i="23"/>
  <c r="J53" s="1"/>
  <c r="D54"/>
  <c r="H54" s="1"/>
  <c r="D55"/>
  <c r="H55" s="1"/>
  <c r="O55" s="1"/>
  <c r="J55" i="24" s="1"/>
  <c r="H58" i="19"/>
  <c r="O56"/>
  <c r="F54" i="24" s="1"/>
  <c r="H56" i="22"/>
  <c r="O54"/>
  <c r="I54" i="24" s="1"/>
  <c r="K55" i="18"/>
  <c r="J58"/>
  <c r="H56" i="20"/>
  <c r="O54"/>
  <c r="G54" i="24" s="1"/>
  <c r="E36" i="1"/>
  <c r="E34"/>
  <c r="E37"/>
  <c r="E33"/>
  <c r="E15" i="20"/>
  <c r="E15" i="21"/>
  <c r="E17" i="22"/>
  <c r="E14" i="19"/>
  <c r="B73" s="1"/>
  <c r="E14" i="21"/>
  <c r="E14" i="20"/>
  <c r="B71" s="1"/>
  <c r="E16" i="18"/>
  <c r="E16" i="21"/>
  <c r="E16" i="20"/>
  <c r="E29" i="23"/>
  <c r="E29" i="20"/>
  <c r="E29" i="21"/>
  <c r="E29" i="22"/>
  <c r="I17" i="41"/>
  <c r="D17"/>
  <c r="C17"/>
  <c r="C18" s="1"/>
  <c r="E17"/>
  <c r="F17"/>
  <c r="F18" s="1"/>
  <c r="H17"/>
  <c r="N34"/>
  <c r="AL34"/>
  <c r="BJ34"/>
  <c r="CH34"/>
  <c r="D34"/>
  <c r="F34"/>
  <c r="H34"/>
  <c r="J34"/>
  <c r="L34"/>
  <c r="O34"/>
  <c r="Q34"/>
  <c r="S34"/>
  <c r="U34"/>
  <c r="W34"/>
  <c r="Y34"/>
  <c r="AB34"/>
  <c r="AD34"/>
  <c r="AF34"/>
  <c r="AH34"/>
  <c r="AJ34"/>
  <c r="AM34"/>
  <c r="AO34"/>
  <c r="AQ34"/>
  <c r="AS34"/>
  <c r="AU34"/>
  <c r="AW34"/>
  <c r="AZ34"/>
  <c r="BB34"/>
  <c r="BD34"/>
  <c r="BF34"/>
  <c r="BH34"/>
  <c r="BK34"/>
  <c r="BM34"/>
  <c r="BO34"/>
  <c r="BQ34"/>
  <c r="BS34"/>
  <c r="BU34"/>
  <c r="BX34"/>
  <c r="BZ34"/>
  <c r="CB34"/>
  <c r="CD34"/>
  <c r="CF34"/>
  <c r="Z34"/>
  <c r="AX34"/>
  <c r="BV34"/>
  <c r="C34"/>
  <c r="E34"/>
  <c r="G34"/>
  <c r="I34"/>
  <c r="K34"/>
  <c r="M34"/>
  <c r="P34"/>
  <c r="R34"/>
  <c r="T34"/>
  <c r="V34"/>
  <c r="X34"/>
  <c r="AA34"/>
  <c r="AC34"/>
  <c r="AE34"/>
  <c r="AG34"/>
  <c r="AI34"/>
  <c r="AK34"/>
  <c r="AN34"/>
  <c r="AP34"/>
  <c r="AR34"/>
  <c r="AT34"/>
  <c r="AV34"/>
  <c r="AY34"/>
  <c r="BA34"/>
  <c r="BC34"/>
  <c r="BE34"/>
  <c r="BG34"/>
  <c r="BI34"/>
  <c r="BL34"/>
  <c r="BN34"/>
  <c r="BP34"/>
  <c r="BR34"/>
  <c r="BT34"/>
  <c r="BW34"/>
  <c r="BY34"/>
  <c r="CA34"/>
  <c r="CC34"/>
  <c r="CE34"/>
  <c r="CG34"/>
  <c r="H53" i="1"/>
  <c r="E49"/>
  <c r="J48"/>
  <c r="H48"/>
  <c r="M48"/>
  <c r="M49" s="1"/>
  <c r="H49"/>
  <c r="N48"/>
  <c r="N49" s="1"/>
  <c r="J34"/>
  <c r="K34" s="1"/>
  <c r="J33"/>
  <c r="K33" s="1"/>
  <c r="J35"/>
  <c r="K35" s="1"/>
  <c r="J36"/>
  <c r="K36" s="1"/>
  <c r="M35"/>
  <c r="N35" s="1"/>
  <c r="M34"/>
  <c r="N34" s="1"/>
  <c r="M33"/>
  <c r="N33" s="1"/>
  <c r="F19" i="46"/>
  <c r="H19" s="1"/>
  <c r="J37" i="1"/>
  <c r="K37" s="1"/>
  <c r="M37"/>
  <c r="N37" s="1"/>
  <c r="H36"/>
  <c r="H34"/>
  <c r="H37"/>
  <c r="H35"/>
  <c r="H33"/>
  <c r="I27" i="46"/>
  <c r="P27" s="1"/>
  <c r="K27"/>
  <c r="I28"/>
  <c r="P28" s="1"/>
  <c r="K28"/>
  <c r="I29"/>
  <c r="P29" s="1"/>
  <c r="K29"/>
  <c r="I30"/>
  <c r="P30" s="1"/>
  <c r="K30"/>
  <c r="I31"/>
  <c r="P31" s="1"/>
  <c r="K31"/>
  <c r="I32"/>
  <c r="P32" s="1"/>
  <c r="K32"/>
  <c r="I33"/>
  <c r="P33" s="1"/>
  <c r="K33"/>
  <c r="I34"/>
  <c r="P34" s="1"/>
  <c r="K34"/>
  <c r="I35"/>
  <c r="P35" s="1"/>
  <c r="K35"/>
  <c r="I36"/>
  <c r="P36" s="1"/>
  <c r="K36"/>
  <c r="I37"/>
  <c r="P37" s="1"/>
  <c r="K37"/>
  <c r="I38"/>
  <c r="P38" s="1"/>
  <c r="K38"/>
  <c r="I45"/>
  <c r="P45" s="1"/>
  <c r="K45"/>
  <c r="I46"/>
  <c r="P46" s="1"/>
  <c r="K46"/>
  <c r="I47"/>
  <c r="P47" s="1"/>
  <c r="K47"/>
  <c r="I48"/>
  <c r="P48" s="1"/>
  <c r="K48"/>
  <c r="I49"/>
  <c r="P49" s="1"/>
  <c r="K49"/>
  <c r="I50"/>
  <c r="K50"/>
  <c r="I51"/>
  <c r="P51" s="1"/>
  <c r="K51"/>
  <c r="I54"/>
  <c r="P54" s="1"/>
  <c r="K54"/>
  <c r="I55"/>
  <c r="P55" s="1"/>
  <c r="K55"/>
  <c r="I56"/>
  <c r="P56" s="1"/>
  <c r="K56"/>
  <c r="H27"/>
  <c r="O27" s="1"/>
  <c r="H28"/>
  <c r="O28" s="1"/>
  <c r="H29"/>
  <c r="O29" s="1"/>
  <c r="H30"/>
  <c r="O30" s="1"/>
  <c r="H31"/>
  <c r="O31" s="1"/>
  <c r="H32"/>
  <c r="O32" s="1"/>
  <c r="H33"/>
  <c r="O33" s="1"/>
  <c r="H34"/>
  <c r="O34" s="1"/>
  <c r="H35"/>
  <c r="O35" s="1"/>
  <c r="H36"/>
  <c r="O36" s="1"/>
  <c r="H37"/>
  <c r="O37" s="1"/>
  <c r="H38"/>
  <c r="O38" s="1"/>
  <c r="H45"/>
  <c r="O45" s="1"/>
  <c r="H46"/>
  <c r="O46" s="1"/>
  <c r="H47"/>
  <c r="O47" s="1"/>
  <c r="H48"/>
  <c r="O48" s="1"/>
  <c r="H49"/>
  <c r="O49" s="1"/>
  <c r="H50"/>
  <c r="O50" s="1"/>
  <c r="H51"/>
  <c r="O51" s="1"/>
  <c r="H54"/>
  <c r="O54" s="1"/>
  <c r="H55"/>
  <c r="O55" s="1"/>
  <c r="H56"/>
  <c r="O56" s="1"/>
  <c r="H33" i="39"/>
  <c r="G33"/>
  <c r="F33"/>
  <c r="E15" i="19"/>
  <c r="E15" i="18"/>
  <c r="E16" i="19"/>
  <c r="E14" i="18"/>
  <c r="B73" s="1"/>
  <c r="H25"/>
  <c r="M25"/>
  <c r="N25" s="1"/>
  <c r="H25" i="19"/>
  <c r="J25"/>
  <c r="K25" s="1"/>
  <c r="M25"/>
  <c r="N25" s="1"/>
  <c r="J25" i="18"/>
  <c r="K25" s="1"/>
  <c r="F34" i="21"/>
  <c r="E34" s="1"/>
  <c r="H34" i="39" s="1"/>
  <c r="T32" i="32"/>
  <c r="T28"/>
  <c r="T29"/>
  <c r="T30"/>
  <c r="T31"/>
  <c r="F9" i="39" l="1"/>
  <c r="E18" i="41"/>
  <c r="D18"/>
  <c r="E17" i="20"/>
  <c r="B71" i="21"/>
  <c r="C12" i="41"/>
  <c r="U6" i="64"/>
  <c r="T4"/>
  <c r="E13" i="41"/>
  <c r="D6" i="20" s="1"/>
  <c r="E6" s="1"/>
  <c r="C13" i="41"/>
  <c r="D6" i="18" s="1"/>
  <c r="E6" s="1"/>
  <c r="F13" i="41"/>
  <c r="D6" i="21" s="1"/>
  <c r="E6" s="1"/>
  <c r="D13" i="41"/>
  <c r="D6" i="19" s="1"/>
  <c r="E6" s="1"/>
  <c r="I13" i="41"/>
  <c r="D6" i="1" s="1"/>
  <c r="I18" i="41"/>
  <c r="E9" i="39"/>
  <c r="J56" i="23"/>
  <c r="K53"/>
  <c r="O53" i="22"/>
  <c r="K56"/>
  <c r="K58" i="19"/>
  <c r="O55"/>
  <c r="K58" i="18"/>
  <c r="O55"/>
  <c r="H56" i="23"/>
  <c r="O54"/>
  <c r="J54" i="24" s="1"/>
  <c r="K56" i="20"/>
  <c r="O53"/>
  <c r="E17" i="21"/>
  <c r="D8"/>
  <c r="E8" s="1"/>
  <c r="B63" s="1"/>
  <c r="D8" i="18"/>
  <c r="E8" s="1"/>
  <c r="O25" i="19"/>
  <c r="F24" i="24" s="1"/>
  <c r="D8" i="20"/>
  <c r="D8" i="19"/>
  <c r="E8" s="1"/>
  <c r="K53" i="1"/>
  <c r="K56" s="1"/>
  <c r="J56"/>
  <c r="O36"/>
  <c r="H56"/>
  <c r="O33"/>
  <c r="D42" s="1"/>
  <c r="O37"/>
  <c r="O35"/>
  <c r="K48"/>
  <c r="K49" s="1"/>
  <c r="J49"/>
  <c r="O48"/>
  <c r="O34"/>
  <c r="E42" s="1"/>
  <c r="P50" i="46"/>
  <c r="I59"/>
  <c r="O59"/>
  <c r="K59"/>
  <c r="O25" i="18"/>
  <c r="T12" i="32"/>
  <c r="T13"/>
  <c r="T14"/>
  <c r="T15"/>
  <c r="T16"/>
  <c r="T20"/>
  <c r="T21"/>
  <c r="T22"/>
  <c r="T23"/>
  <c r="T24"/>
  <c r="T5"/>
  <c r="T6"/>
  <c r="T7"/>
  <c r="T8"/>
  <c r="T4"/>
  <c r="B61" i="21" l="1"/>
  <c r="G6" i="39"/>
  <c r="B61" i="20"/>
  <c r="C14" i="41"/>
  <c r="V6" i="64"/>
  <c r="U4"/>
  <c r="E14" i="41"/>
  <c r="D14"/>
  <c r="F14"/>
  <c r="I14"/>
  <c r="D7" i="1" s="1"/>
  <c r="F6" i="39"/>
  <c r="H6"/>
  <c r="E6"/>
  <c r="D8" i="1"/>
  <c r="F8" i="39"/>
  <c r="E8"/>
  <c r="I53" i="24"/>
  <c r="I56" s="1"/>
  <c r="G66" s="1"/>
  <c r="O56" i="22"/>
  <c r="C67" s="1"/>
  <c r="O56" i="20"/>
  <c r="C67" s="1"/>
  <c r="G53" i="24"/>
  <c r="G56" s="1"/>
  <c r="E66" s="1"/>
  <c r="E53"/>
  <c r="E56" s="1"/>
  <c r="C66" s="1"/>
  <c r="O58" i="18"/>
  <c r="C69" s="1"/>
  <c r="F53" i="24"/>
  <c r="F56" s="1"/>
  <c r="D66" s="1"/>
  <c r="O58" i="19"/>
  <c r="C69" s="1"/>
  <c r="O53" i="23"/>
  <c r="K56"/>
  <c r="O49" i="1"/>
  <c r="C66" s="1"/>
  <c r="K48" i="24"/>
  <c r="K49" s="1"/>
  <c r="I65" s="1"/>
  <c r="H8" i="39"/>
  <c r="E8" i="20"/>
  <c r="B63" s="1"/>
  <c r="O53" i="1"/>
  <c r="E24" i="24"/>
  <c r="O137" i="25"/>
  <c r="O136"/>
  <c r="O135"/>
  <c r="O134"/>
  <c r="O133"/>
  <c r="O132"/>
  <c r="O131"/>
  <c r="O130"/>
  <c r="O129"/>
  <c r="O128"/>
  <c r="O127"/>
  <c r="O126"/>
  <c r="O125"/>
  <c r="O124"/>
  <c r="O123"/>
  <c r="O122"/>
  <c r="O121"/>
  <c r="O119"/>
  <c r="O118"/>
  <c r="O117"/>
  <c r="O116"/>
  <c r="O115"/>
  <c r="O114"/>
  <c r="O113"/>
  <c r="O112"/>
  <c r="O111"/>
  <c r="O110"/>
  <c r="O109"/>
  <c r="O108"/>
  <c r="O107"/>
  <c r="O106"/>
  <c r="O105"/>
  <c r="O104"/>
  <c r="O103"/>
  <c r="O101"/>
  <c r="O100"/>
  <c r="O99"/>
  <c r="O98"/>
  <c r="O97"/>
  <c r="O96"/>
  <c r="O95"/>
  <c r="O94"/>
  <c r="O93"/>
  <c r="O92"/>
  <c r="O91"/>
  <c r="O90"/>
  <c r="O89"/>
  <c r="O88"/>
  <c r="O87"/>
  <c r="O86"/>
  <c r="O85"/>
  <c r="O83"/>
  <c r="O82"/>
  <c r="O81"/>
  <c r="O80"/>
  <c r="O79"/>
  <c r="O78"/>
  <c r="O77"/>
  <c r="O76"/>
  <c r="O75"/>
  <c r="O74"/>
  <c r="O73"/>
  <c r="O72"/>
  <c r="O71"/>
  <c r="O70"/>
  <c r="O69"/>
  <c r="O68"/>
  <c r="O67"/>
  <c r="O65"/>
  <c r="O64"/>
  <c r="O63"/>
  <c r="O62"/>
  <c r="O61"/>
  <c r="O60"/>
  <c r="O59"/>
  <c r="O58"/>
  <c r="O57"/>
  <c r="O56"/>
  <c r="O55"/>
  <c r="O54"/>
  <c r="O53"/>
  <c r="O52"/>
  <c r="O51"/>
  <c r="O50"/>
  <c r="O49"/>
  <c r="O47"/>
  <c r="O46"/>
  <c r="O45"/>
  <c r="O44"/>
  <c r="O43"/>
  <c r="O42"/>
  <c r="O41"/>
  <c r="O40"/>
  <c r="O39"/>
  <c r="O38"/>
  <c r="O37"/>
  <c r="O36"/>
  <c r="O35"/>
  <c r="O34"/>
  <c r="O33"/>
  <c r="O32"/>
  <c r="O31"/>
  <c r="O29"/>
  <c r="O28"/>
  <c r="O27"/>
  <c r="O26"/>
  <c r="O25"/>
  <c r="O24"/>
  <c r="O23"/>
  <c r="O22"/>
  <c r="O21"/>
  <c r="O20"/>
  <c r="O19"/>
  <c r="O18"/>
  <c r="O17"/>
  <c r="O16"/>
  <c r="O15"/>
  <c r="O14"/>
  <c r="O13"/>
  <c r="O137" i="28"/>
  <c r="O136"/>
  <c r="O135"/>
  <c r="O134"/>
  <c r="O133"/>
  <c r="O132"/>
  <c r="O131"/>
  <c r="O130"/>
  <c r="O129"/>
  <c r="O128"/>
  <c r="O127"/>
  <c r="O126"/>
  <c r="O125"/>
  <c r="O124"/>
  <c r="O123"/>
  <c r="O122"/>
  <c r="O121"/>
  <c r="O119"/>
  <c r="O118"/>
  <c r="O117"/>
  <c r="O116"/>
  <c r="O115"/>
  <c r="O114"/>
  <c r="O113"/>
  <c r="O112"/>
  <c r="O111"/>
  <c r="O110"/>
  <c r="O109"/>
  <c r="O108"/>
  <c r="O107"/>
  <c r="O106"/>
  <c r="O105"/>
  <c r="O104"/>
  <c r="O103"/>
  <c r="O101"/>
  <c r="O100"/>
  <c r="O99"/>
  <c r="O98"/>
  <c r="O97"/>
  <c r="O96"/>
  <c r="O95"/>
  <c r="O94"/>
  <c r="O93"/>
  <c r="O92"/>
  <c r="O91"/>
  <c r="O90"/>
  <c r="O89"/>
  <c r="O88"/>
  <c r="O87"/>
  <c r="O86"/>
  <c r="O85"/>
  <c r="O83"/>
  <c r="O82"/>
  <c r="O81"/>
  <c r="O80"/>
  <c r="O79"/>
  <c r="O78"/>
  <c r="O77"/>
  <c r="O76"/>
  <c r="O75"/>
  <c r="O74"/>
  <c r="O73"/>
  <c r="O72"/>
  <c r="O71"/>
  <c r="O70"/>
  <c r="O69"/>
  <c r="O68"/>
  <c r="O67"/>
  <c r="O65"/>
  <c r="O64"/>
  <c r="O63"/>
  <c r="O62"/>
  <c r="O61"/>
  <c r="O60"/>
  <c r="O59"/>
  <c r="O58"/>
  <c r="O57"/>
  <c r="O56"/>
  <c r="O55"/>
  <c r="O54"/>
  <c r="O53"/>
  <c r="O52"/>
  <c r="O51"/>
  <c r="O50"/>
  <c r="O49"/>
  <c r="O47"/>
  <c r="O46"/>
  <c r="O45"/>
  <c r="O44"/>
  <c r="O43"/>
  <c r="O42"/>
  <c r="O41"/>
  <c r="O40"/>
  <c r="O39"/>
  <c r="O38"/>
  <c r="O37"/>
  <c r="O36"/>
  <c r="O35"/>
  <c r="O34"/>
  <c r="O33"/>
  <c r="O32"/>
  <c r="O31"/>
  <c r="O29"/>
  <c r="O28"/>
  <c r="O27"/>
  <c r="O26"/>
  <c r="O25"/>
  <c r="O24"/>
  <c r="O23"/>
  <c r="O22"/>
  <c r="O21"/>
  <c r="O20"/>
  <c r="O19"/>
  <c r="O18"/>
  <c r="O17"/>
  <c r="O16"/>
  <c r="O15"/>
  <c r="O14"/>
  <c r="O13"/>
  <c r="O137" i="27"/>
  <c r="O136"/>
  <c r="O135"/>
  <c r="O134"/>
  <c r="O133"/>
  <c r="O132"/>
  <c r="O131"/>
  <c r="O130"/>
  <c r="O129"/>
  <c r="O128"/>
  <c r="O127"/>
  <c r="O126"/>
  <c r="O125"/>
  <c r="O124"/>
  <c r="O123"/>
  <c r="O122"/>
  <c r="O121"/>
  <c r="O119"/>
  <c r="O118"/>
  <c r="O117"/>
  <c r="O116"/>
  <c r="O115"/>
  <c r="O114"/>
  <c r="O113"/>
  <c r="O112"/>
  <c r="O111"/>
  <c r="O110"/>
  <c r="O109"/>
  <c r="O108"/>
  <c r="O107"/>
  <c r="O106"/>
  <c r="O105"/>
  <c r="O104"/>
  <c r="O103"/>
  <c r="O101"/>
  <c r="O100"/>
  <c r="O99"/>
  <c r="O98"/>
  <c r="O97"/>
  <c r="O96"/>
  <c r="O95"/>
  <c r="O94"/>
  <c r="O93"/>
  <c r="O92"/>
  <c r="O91"/>
  <c r="O90"/>
  <c r="O89"/>
  <c r="O88"/>
  <c r="O87"/>
  <c r="O86"/>
  <c r="O85"/>
  <c r="O83"/>
  <c r="O82"/>
  <c r="O81"/>
  <c r="O80"/>
  <c r="O79"/>
  <c r="O78"/>
  <c r="O77"/>
  <c r="O76"/>
  <c r="O75"/>
  <c r="O74"/>
  <c r="O73"/>
  <c r="O72"/>
  <c r="O71"/>
  <c r="O70"/>
  <c r="O69"/>
  <c r="O68"/>
  <c r="O67"/>
  <c r="O65"/>
  <c r="O64"/>
  <c r="O63"/>
  <c r="O62"/>
  <c r="O61"/>
  <c r="O60"/>
  <c r="O59"/>
  <c r="O58"/>
  <c r="O57"/>
  <c r="O56"/>
  <c r="O55"/>
  <c r="O54"/>
  <c r="O53"/>
  <c r="O52"/>
  <c r="O51"/>
  <c r="O50"/>
  <c r="O49"/>
  <c r="O47"/>
  <c r="O46"/>
  <c r="O45"/>
  <c r="O44"/>
  <c r="O43"/>
  <c r="O42"/>
  <c r="O41"/>
  <c r="O40"/>
  <c r="O39"/>
  <c r="O38"/>
  <c r="O37"/>
  <c r="O36"/>
  <c r="O35"/>
  <c r="O34"/>
  <c r="O33"/>
  <c r="O32"/>
  <c r="O31"/>
  <c r="O29"/>
  <c r="O28"/>
  <c r="O27"/>
  <c r="O26"/>
  <c r="O25"/>
  <c r="O24"/>
  <c r="O23"/>
  <c r="O22"/>
  <c r="O21"/>
  <c r="O20"/>
  <c r="O19"/>
  <c r="O18"/>
  <c r="O17"/>
  <c r="O16"/>
  <c r="O15"/>
  <c r="O14"/>
  <c r="O13"/>
  <c r="O137" i="29"/>
  <c r="O136"/>
  <c r="O135"/>
  <c r="O134"/>
  <c r="O133"/>
  <c r="O132"/>
  <c r="O131"/>
  <c r="O130"/>
  <c r="O129"/>
  <c r="O128"/>
  <c r="O127"/>
  <c r="O126"/>
  <c r="O125"/>
  <c r="O124"/>
  <c r="O123"/>
  <c r="O122"/>
  <c r="O121"/>
  <c r="O119"/>
  <c r="O118"/>
  <c r="O117"/>
  <c r="O116"/>
  <c r="O115"/>
  <c r="O114"/>
  <c r="O113"/>
  <c r="O112"/>
  <c r="O111"/>
  <c r="O110"/>
  <c r="O109"/>
  <c r="O108"/>
  <c r="O107"/>
  <c r="O106"/>
  <c r="O105"/>
  <c r="O104"/>
  <c r="O103"/>
  <c r="O101"/>
  <c r="O100"/>
  <c r="O99"/>
  <c r="O98"/>
  <c r="O97"/>
  <c r="O96"/>
  <c r="O95"/>
  <c r="O94"/>
  <c r="O93"/>
  <c r="O92"/>
  <c r="O91"/>
  <c r="O90"/>
  <c r="O89"/>
  <c r="O88"/>
  <c r="O87"/>
  <c r="O86"/>
  <c r="O85"/>
  <c r="O83"/>
  <c r="O82"/>
  <c r="O81"/>
  <c r="O80"/>
  <c r="O79"/>
  <c r="O78"/>
  <c r="O77"/>
  <c r="O76"/>
  <c r="O75"/>
  <c r="O74"/>
  <c r="O73"/>
  <c r="O72"/>
  <c r="O71"/>
  <c r="O70"/>
  <c r="O69"/>
  <c r="O68"/>
  <c r="O67"/>
  <c r="O65"/>
  <c r="O64"/>
  <c r="O63"/>
  <c r="O62"/>
  <c r="O61"/>
  <c r="O60"/>
  <c r="O59"/>
  <c r="O58"/>
  <c r="O57"/>
  <c r="O56"/>
  <c r="O55"/>
  <c r="O54"/>
  <c r="O53"/>
  <c r="O52"/>
  <c r="O51"/>
  <c r="O50"/>
  <c r="O49"/>
  <c r="O47"/>
  <c r="O46"/>
  <c r="O45"/>
  <c r="O44"/>
  <c r="O43"/>
  <c r="O42"/>
  <c r="O41"/>
  <c r="O40"/>
  <c r="O39"/>
  <c r="O38"/>
  <c r="O37"/>
  <c r="O36"/>
  <c r="O35"/>
  <c r="O34"/>
  <c r="O33"/>
  <c r="O32"/>
  <c r="O31"/>
  <c r="O29"/>
  <c r="O28"/>
  <c r="O27"/>
  <c r="O26"/>
  <c r="O25"/>
  <c r="O24"/>
  <c r="O23"/>
  <c r="O22"/>
  <c r="O21"/>
  <c r="O20"/>
  <c r="O19"/>
  <c r="O18"/>
  <c r="O17"/>
  <c r="O16"/>
  <c r="O15"/>
  <c r="O14"/>
  <c r="O13"/>
  <c r="O137" i="30"/>
  <c r="O136"/>
  <c r="O135"/>
  <c r="O134"/>
  <c r="O133"/>
  <c r="O132"/>
  <c r="O131"/>
  <c r="O130"/>
  <c r="O129"/>
  <c r="O128"/>
  <c r="O127"/>
  <c r="O126"/>
  <c r="O125"/>
  <c r="O124"/>
  <c r="O123"/>
  <c r="O122"/>
  <c r="O121"/>
  <c r="O119"/>
  <c r="O118"/>
  <c r="O117"/>
  <c r="O116"/>
  <c r="O115"/>
  <c r="O114"/>
  <c r="O113"/>
  <c r="O112"/>
  <c r="O111"/>
  <c r="O110"/>
  <c r="O109"/>
  <c r="O108"/>
  <c r="O107"/>
  <c r="O106"/>
  <c r="O105"/>
  <c r="O104"/>
  <c r="O103"/>
  <c r="O101"/>
  <c r="O100"/>
  <c r="O99"/>
  <c r="O98"/>
  <c r="O97"/>
  <c r="O96"/>
  <c r="O95"/>
  <c r="O94"/>
  <c r="O93"/>
  <c r="O92"/>
  <c r="O91"/>
  <c r="O90"/>
  <c r="O89"/>
  <c r="O88"/>
  <c r="O87"/>
  <c r="G16" i="41" s="1"/>
  <c r="G23" s="1"/>
  <c r="O86" i="30"/>
  <c r="O85"/>
  <c r="O83"/>
  <c r="O82"/>
  <c r="O81"/>
  <c r="O80"/>
  <c r="O79"/>
  <c r="O78"/>
  <c r="O77"/>
  <c r="O76"/>
  <c r="O75"/>
  <c r="O74"/>
  <c r="O73"/>
  <c r="O72"/>
  <c r="O71"/>
  <c r="O70"/>
  <c r="O69"/>
  <c r="G19" i="41" s="1"/>
  <c r="O68" i="30"/>
  <c r="O67"/>
  <c r="O65"/>
  <c r="O64"/>
  <c r="O63"/>
  <c r="O62"/>
  <c r="O61"/>
  <c r="O60"/>
  <c r="O59"/>
  <c r="O58"/>
  <c r="O57"/>
  <c r="O56"/>
  <c r="O55"/>
  <c r="O54"/>
  <c r="O53"/>
  <c r="O52"/>
  <c r="O51"/>
  <c r="G15" i="41" s="1"/>
  <c r="O50" i="30"/>
  <c r="O49"/>
  <c r="O47"/>
  <c r="O46"/>
  <c r="O45"/>
  <c r="O44"/>
  <c r="O43"/>
  <c r="O42"/>
  <c r="O41"/>
  <c r="O40"/>
  <c r="O39"/>
  <c r="O38"/>
  <c r="O37"/>
  <c r="O36"/>
  <c r="O35"/>
  <c r="O34"/>
  <c r="O33"/>
  <c r="G7" i="41" s="1"/>
  <c r="G8" s="1"/>
  <c r="O32" i="30"/>
  <c r="O31"/>
  <c r="O29"/>
  <c r="O28"/>
  <c r="O27"/>
  <c r="O26"/>
  <c r="O25"/>
  <c r="O24"/>
  <c r="O23"/>
  <c r="O22"/>
  <c r="O21"/>
  <c r="O20"/>
  <c r="O19"/>
  <c r="O18"/>
  <c r="O17"/>
  <c r="O16"/>
  <c r="O15"/>
  <c r="G9" i="41" s="1"/>
  <c r="O14" i="30"/>
  <c r="O13"/>
  <c r="O137" i="31"/>
  <c r="O136"/>
  <c r="O135"/>
  <c r="O134"/>
  <c r="O133"/>
  <c r="O132"/>
  <c r="O131"/>
  <c r="O130"/>
  <c r="O129"/>
  <c r="O128"/>
  <c r="O127"/>
  <c r="O126"/>
  <c r="O125"/>
  <c r="O124"/>
  <c r="O123"/>
  <c r="O122"/>
  <c r="O121"/>
  <c r="O119"/>
  <c r="O118"/>
  <c r="O117"/>
  <c r="O116"/>
  <c r="O115"/>
  <c r="O114"/>
  <c r="O113"/>
  <c r="O112"/>
  <c r="O111"/>
  <c r="O110"/>
  <c r="O109"/>
  <c r="O108"/>
  <c r="O107"/>
  <c r="O106"/>
  <c r="O105"/>
  <c r="O104"/>
  <c r="O103"/>
  <c r="O101"/>
  <c r="O100"/>
  <c r="O99"/>
  <c r="O98"/>
  <c r="O97"/>
  <c r="O96"/>
  <c r="O95"/>
  <c r="O94"/>
  <c r="O93"/>
  <c r="O92"/>
  <c r="O91"/>
  <c r="O90"/>
  <c r="O89"/>
  <c r="O88"/>
  <c r="O87"/>
  <c r="O86"/>
  <c r="O85"/>
  <c r="O83"/>
  <c r="O82"/>
  <c r="O81"/>
  <c r="O80"/>
  <c r="O79"/>
  <c r="O78"/>
  <c r="O77"/>
  <c r="O76"/>
  <c r="O75"/>
  <c r="O74"/>
  <c r="O73"/>
  <c r="O72"/>
  <c r="O71"/>
  <c r="O70"/>
  <c r="O69"/>
  <c r="O68"/>
  <c r="O67"/>
  <c r="O65"/>
  <c r="O64"/>
  <c r="O63"/>
  <c r="O62"/>
  <c r="O61"/>
  <c r="O60"/>
  <c r="O59"/>
  <c r="O58"/>
  <c r="O57"/>
  <c r="O56"/>
  <c r="O55"/>
  <c r="O54"/>
  <c r="O53"/>
  <c r="O52"/>
  <c r="O51"/>
  <c r="O50"/>
  <c r="O49"/>
  <c r="O47"/>
  <c r="O46"/>
  <c r="O45"/>
  <c r="O44"/>
  <c r="O43"/>
  <c r="O42"/>
  <c r="O41"/>
  <c r="O40"/>
  <c r="O39"/>
  <c r="O38"/>
  <c r="O37"/>
  <c r="O36"/>
  <c r="O35"/>
  <c r="O34"/>
  <c r="O33"/>
  <c r="O32"/>
  <c r="O31"/>
  <c r="O29"/>
  <c r="O28"/>
  <c r="O27"/>
  <c r="O26"/>
  <c r="O25"/>
  <c r="O24"/>
  <c r="O23"/>
  <c r="O22"/>
  <c r="O21"/>
  <c r="O20"/>
  <c r="O19"/>
  <c r="O18"/>
  <c r="O17"/>
  <c r="O16"/>
  <c r="O15"/>
  <c r="O14"/>
  <c r="O13"/>
  <c r="L42" i="18"/>
  <c r="I42"/>
  <c r="J42" s="1"/>
  <c r="K42" s="1"/>
  <c r="F42"/>
  <c r="L41"/>
  <c r="I41"/>
  <c r="J41" s="1"/>
  <c r="K41" s="1"/>
  <c r="L40"/>
  <c r="I40"/>
  <c r="J40" s="1"/>
  <c r="K40" s="1"/>
  <c r="L39"/>
  <c r="I39"/>
  <c r="J39" s="1"/>
  <c r="K39" s="1"/>
  <c r="L38"/>
  <c r="I38"/>
  <c r="J38" s="1"/>
  <c r="K38" s="1"/>
  <c r="L37"/>
  <c r="I37"/>
  <c r="J37" s="1"/>
  <c r="K37" s="1"/>
  <c r="L36"/>
  <c r="I36"/>
  <c r="J36" s="1"/>
  <c r="K36" s="1"/>
  <c r="L35"/>
  <c r="I35"/>
  <c r="J35" s="1"/>
  <c r="L30"/>
  <c r="I30"/>
  <c r="E30"/>
  <c r="B66" s="1"/>
  <c r="L29"/>
  <c r="I29"/>
  <c r="E29"/>
  <c r="E27" i="39" s="1"/>
  <c r="L28" i="18"/>
  <c r="I28"/>
  <c r="E28"/>
  <c r="L27"/>
  <c r="I27"/>
  <c r="E27"/>
  <c r="E25" i="39" s="1"/>
  <c r="L24" i="18"/>
  <c r="I24"/>
  <c r="L23"/>
  <c r="I23"/>
  <c r="L22"/>
  <c r="I22"/>
  <c r="L21"/>
  <c r="I21"/>
  <c r="L15"/>
  <c r="I15"/>
  <c r="L14"/>
  <c r="I14"/>
  <c r="L42" i="19"/>
  <c r="M42" s="1"/>
  <c r="N42" s="1"/>
  <c r="I42"/>
  <c r="F42"/>
  <c r="L41"/>
  <c r="M41" s="1"/>
  <c r="N41" s="1"/>
  <c r="I41"/>
  <c r="F41"/>
  <c r="L40"/>
  <c r="M40" s="1"/>
  <c r="N40" s="1"/>
  <c r="I40"/>
  <c r="F40"/>
  <c r="L39"/>
  <c r="I39"/>
  <c r="F39"/>
  <c r="L38"/>
  <c r="M38" s="1"/>
  <c r="N38" s="1"/>
  <c r="I38"/>
  <c r="H38"/>
  <c r="L37"/>
  <c r="I37"/>
  <c r="H37"/>
  <c r="L36"/>
  <c r="M36" s="1"/>
  <c r="N36" s="1"/>
  <c r="I36"/>
  <c r="H36"/>
  <c r="L35"/>
  <c r="I35"/>
  <c r="H35"/>
  <c r="L30"/>
  <c r="I30"/>
  <c r="E30"/>
  <c r="B66" s="1"/>
  <c r="L29"/>
  <c r="I29"/>
  <c r="E29"/>
  <c r="L28"/>
  <c r="I28"/>
  <c r="E28"/>
  <c r="L27"/>
  <c r="I27"/>
  <c r="E27"/>
  <c r="L24"/>
  <c r="I24"/>
  <c r="L23"/>
  <c r="I23"/>
  <c r="L22"/>
  <c r="I22"/>
  <c r="L21"/>
  <c r="I21"/>
  <c r="L15"/>
  <c r="I15"/>
  <c r="L14"/>
  <c r="I14"/>
  <c r="L40" i="20"/>
  <c r="I40"/>
  <c r="J40" s="1"/>
  <c r="K40" s="1"/>
  <c r="F40"/>
  <c r="L39"/>
  <c r="I39"/>
  <c r="J39"/>
  <c r="K39" s="1"/>
  <c r="L38"/>
  <c r="I38"/>
  <c r="J38" s="1"/>
  <c r="K38" s="1"/>
  <c r="L37"/>
  <c r="I37"/>
  <c r="J37" s="1"/>
  <c r="K37" s="1"/>
  <c r="L36"/>
  <c r="I36"/>
  <c r="J36" s="1"/>
  <c r="K36" s="1"/>
  <c r="L35"/>
  <c r="I35"/>
  <c r="J35" s="1"/>
  <c r="K35" s="1"/>
  <c r="L34"/>
  <c r="I34"/>
  <c r="J34" s="1"/>
  <c r="K34" s="1"/>
  <c r="L33"/>
  <c r="I33"/>
  <c r="J33" s="1"/>
  <c r="L28"/>
  <c r="I28"/>
  <c r="L27"/>
  <c r="I27"/>
  <c r="G27" i="39"/>
  <c r="L26" i="20"/>
  <c r="I26"/>
  <c r="L25"/>
  <c r="I25"/>
  <c r="G25" i="39"/>
  <c r="L24" i="20"/>
  <c r="I24"/>
  <c r="L23"/>
  <c r="I23"/>
  <c r="L22"/>
  <c r="I22"/>
  <c r="L21"/>
  <c r="I21"/>
  <c r="L15"/>
  <c r="I15"/>
  <c r="L14"/>
  <c r="I14"/>
  <c r="L40" i="21"/>
  <c r="M40" s="1"/>
  <c r="N40" s="1"/>
  <c r="I40"/>
  <c r="F40"/>
  <c r="L39"/>
  <c r="I39"/>
  <c r="J39" s="1"/>
  <c r="K39" s="1"/>
  <c r="L38"/>
  <c r="I38"/>
  <c r="J38" s="1"/>
  <c r="K38" s="1"/>
  <c r="L37"/>
  <c r="I37"/>
  <c r="F37"/>
  <c r="L36"/>
  <c r="I36"/>
  <c r="J36" s="1"/>
  <c r="K36" s="1"/>
  <c r="L35"/>
  <c r="I35"/>
  <c r="J35" s="1"/>
  <c r="K35" s="1"/>
  <c r="L34"/>
  <c r="M34" s="1"/>
  <c r="I34"/>
  <c r="H34"/>
  <c r="L33"/>
  <c r="I33"/>
  <c r="J33" s="1"/>
  <c r="L28"/>
  <c r="I28"/>
  <c r="L27"/>
  <c r="I27"/>
  <c r="H27" i="39"/>
  <c r="L26" i="21"/>
  <c r="I26"/>
  <c r="L25"/>
  <c r="I25"/>
  <c r="H25" i="39"/>
  <c r="L24" i="21"/>
  <c r="I24"/>
  <c r="L23"/>
  <c r="I23"/>
  <c r="L22"/>
  <c r="I22"/>
  <c r="L21"/>
  <c r="I21"/>
  <c r="L15"/>
  <c r="I15"/>
  <c r="L14"/>
  <c r="I14"/>
  <c r="L40" i="22"/>
  <c r="I40"/>
  <c r="J40" s="1"/>
  <c r="K40" s="1"/>
  <c r="L39"/>
  <c r="I39"/>
  <c r="J39" s="1"/>
  <c r="K39" s="1"/>
  <c r="L38"/>
  <c r="I38"/>
  <c r="J38" s="1"/>
  <c r="K38" s="1"/>
  <c r="L37"/>
  <c r="I37"/>
  <c r="J37" s="1"/>
  <c r="K37" s="1"/>
  <c r="L36"/>
  <c r="I36"/>
  <c r="J36" s="1"/>
  <c r="K36" s="1"/>
  <c r="L35"/>
  <c r="I35"/>
  <c r="J35" s="1"/>
  <c r="K35" s="1"/>
  <c r="L34"/>
  <c r="I34"/>
  <c r="J34" s="1"/>
  <c r="K34" s="1"/>
  <c r="L33"/>
  <c r="I33"/>
  <c r="J33" s="1"/>
  <c r="L28"/>
  <c r="I28"/>
  <c r="L27"/>
  <c r="I27"/>
  <c r="I27" i="39"/>
  <c r="L26" i="22"/>
  <c r="I26"/>
  <c r="L25"/>
  <c r="I25"/>
  <c r="I25" i="39"/>
  <c r="L24" i="22"/>
  <c r="I24"/>
  <c r="L23"/>
  <c r="I23"/>
  <c r="L22"/>
  <c r="I22"/>
  <c r="L21"/>
  <c r="I21"/>
  <c r="L15"/>
  <c r="I15"/>
  <c r="L14"/>
  <c r="I14"/>
  <c r="L40" i="23"/>
  <c r="I40"/>
  <c r="J40" s="1"/>
  <c r="K40" s="1"/>
  <c r="L39"/>
  <c r="I39"/>
  <c r="J39" s="1"/>
  <c r="K39" s="1"/>
  <c r="L38"/>
  <c r="I38"/>
  <c r="J38" s="1"/>
  <c r="K38" s="1"/>
  <c r="L37"/>
  <c r="I37"/>
  <c r="J37" s="1"/>
  <c r="K37" s="1"/>
  <c r="L36"/>
  <c r="I36"/>
  <c r="J36" s="1"/>
  <c r="K36" s="1"/>
  <c r="L35"/>
  <c r="I35"/>
  <c r="J35" s="1"/>
  <c r="K35" s="1"/>
  <c r="L34"/>
  <c r="I34"/>
  <c r="J34" s="1"/>
  <c r="K34" s="1"/>
  <c r="L33"/>
  <c r="I33"/>
  <c r="J33" s="1"/>
  <c r="L28"/>
  <c r="I28"/>
  <c r="L27"/>
  <c r="I27"/>
  <c r="J27" i="39"/>
  <c r="L26" i="23"/>
  <c r="I26"/>
  <c r="L25"/>
  <c r="I25"/>
  <c r="J25" i="39"/>
  <c r="L24" i="23"/>
  <c r="I24"/>
  <c r="L23"/>
  <c r="I23"/>
  <c r="L22"/>
  <c r="I22"/>
  <c r="L21"/>
  <c r="I21"/>
  <c r="L15"/>
  <c r="I15"/>
  <c r="L14"/>
  <c r="I14"/>
  <c r="E9"/>
  <c r="B64" s="1"/>
  <c r="W6" i="64" l="1"/>
  <c r="V4"/>
  <c r="D7" i="19"/>
  <c r="E7" s="1"/>
  <c r="D20" i="41"/>
  <c r="D7" i="18"/>
  <c r="E7" s="1"/>
  <c r="C20" i="41"/>
  <c r="D7" i="21"/>
  <c r="E7" s="1"/>
  <c r="F20" i="41"/>
  <c r="D7" i="20"/>
  <c r="E7" s="1"/>
  <c r="E20" i="41"/>
  <c r="I20"/>
  <c r="G10"/>
  <c r="G12" s="1"/>
  <c r="J9" i="39"/>
  <c r="O56" i="23"/>
  <c r="C67" s="1"/>
  <c r="J53" i="24"/>
  <c r="J56" s="1"/>
  <c r="H66" s="1"/>
  <c r="O56" i="1"/>
  <c r="C67" s="1"/>
  <c r="K53" i="24"/>
  <c r="K56" s="1"/>
  <c r="I66" s="1"/>
  <c r="D9" i="22"/>
  <c r="E9" s="1"/>
  <c r="B64" s="1"/>
  <c r="G17" i="41"/>
  <c r="G8" i="39"/>
  <c r="M26" i="22"/>
  <c r="N26" s="1"/>
  <c r="I26" i="39"/>
  <c r="M28" i="22"/>
  <c r="N28" s="1"/>
  <c r="I28" i="39"/>
  <c r="M26" i="21"/>
  <c r="N26" s="1"/>
  <c r="H26" i="39"/>
  <c r="M28" i="21"/>
  <c r="N28" s="1"/>
  <c r="H28" i="39"/>
  <c r="H37" i="21"/>
  <c r="E37"/>
  <c r="H40" i="20"/>
  <c r="E40"/>
  <c r="G40" i="39" s="1"/>
  <c r="J28" i="19"/>
  <c r="K28" s="1"/>
  <c r="F26" i="39"/>
  <c r="J30" i="19"/>
  <c r="K30" s="1"/>
  <c r="F28" i="39"/>
  <c r="H39" i="19"/>
  <c r="E39"/>
  <c r="H41"/>
  <c r="E41"/>
  <c r="F39" i="39" s="1"/>
  <c r="M26" i="23"/>
  <c r="N26" s="1"/>
  <c r="J26" i="39"/>
  <c r="M28" i="23"/>
  <c r="N28" s="1"/>
  <c r="J28" i="39"/>
  <c r="H40" i="21"/>
  <c r="E40"/>
  <c r="H40" i="39" s="1"/>
  <c r="M26" i="20"/>
  <c r="N26" s="1"/>
  <c r="G26" i="39"/>
  <c r="M28" i="20"/>
  <c r="N28" s="1"/>
  <c r="G28" i="39"/>
  <c r="M27" i="19"/>
  <c r="N27" s="1"/>
  <c r="F25" i="39"/>
  <c r="M29" i="19"/>
  <c r="N29" s="1"/>
  <c r="F27" i="39"/>
  <c r="H40" i="19"/>
  <c r="E40"/>
  <c r="F38" i="39" s="1"/>
  <c r="H42" i="19"/>
  <c r="E42"/>
  <c r="F40" i="39" s="1"/>
  <c r="M28" i="18"/>
  <c r="N28" s="1"/>
  <c r="E26" i="39"/>
  <c r="M30" i="18"/>
  <c r="N30" s="1"/>
  <c r="E28" i="39"/>
  <c r="H42" i="18"/>
  <c r="E42"/>
  <c r="E40" i="39" s="1"/>
  <c r="J25" i="20"/>
  <c r="K25" s="1"/>
  <c r="J27"/>
  <c r="K27" s="1"/>
  <c r="J25" i="23"/>
  <c r="K25" s="1"/>
  <c r="J27"/>
  <c r="K27" s="1"/>
  <c r="J25" i="22"/>
  <c r="K25" s="1"/>
  <c r="J27"/>
  <c r="K27" s="1"/>
  <c r="J25" i="21"/>
  <c r="K25" s="1"/>
  <c r="J27"/>
  <c r="K27" s="1"/>
  <c r="J27" i="18"/>
  <c r="K27" s="1"/>
  <c r="J29"/>
  <c r="K29" s="1"/>
  <c r="H43" i="19"/>
  <c r="H28" i="18"/>
  <c r="H27" i="19"/>
  <c r="M34" i="23"/>
  <c r="N34" s="1"/>
  <c r="M36"/>
  <c r="N36" s="1"/>
  <c r="M38"/>
  <c r="N38" s="1"/>
  <c r="M40"/>
  <c r="N40" s="1"/>
  <c r="M33" i="22"/>
  <c r="M35"/>
  <c r="N35" s="1"/>
  <c r="M37"/>
  <c r="N37" s="1"/>
  <c r="M39"/>
  <c r="N39" s="1"/>
  <c r="N34" i="21"/>
  <c r="M36"/>
  <c r="N36" s="1"/>
  <c r="M38"/>
  <c r="N38" s="1"/>
  <c r="M37" i="20"/>
  <c r="N37" s="1"/>
  <c r="M39"/>
  <c r="N39" s="1"/>
  <c r="J35" i="19"/>
  <c r="J37"/>
  <c r="K37" s="1"/>
  <c r="M37"/>
  <c r="N37" s="1"/>
  <c r="J39"/>
  <c r="K39" s="1"/>
  <c r="M39"/>
  <c r="N39" s="1"/>
  <c r="J41"/>
  <c r="K41" s="1"/>
  <c r="M35" i="18"/>
  <c r="N35" s="1"/>
  <c r="M37"/>
  <c r="N37" s="1"/>
  <c r="M39"/>
  <c r="N39" s="1"/>
  <c r="M41"/>
  <c r="N41" s="1"/>
  <c r="M33" i="20"/>
  <c r="M35"/>
  <c r="N35" s="1"/>
  <c r="M35" i="19"/>
  <c r="N35" s="1"/>
  <c r="N43" s="1"/>
  <c r="M33" i="23"/>
  <c r="M35"/>
  <c r="N35" s="1"/>
  <c r="M37"/>
  <c r="N37" s="1"/>
  <c r="M39"/>
  <c r="N39" s="1"/>
  <c r="M34" i="22"/>
  <c r="N34" s="1"/>
  <c r="M36"/>
  <c r="N36" s="1"/>
  <c r="M38"/>
  <c r="N38" s="1"/>
  <c r="M40"/>
  <c r="N40" s="1"/>
  <c r="M33" i="21"/>
  <c r="M35"/>
  <c r="N35" s="1"/>
  <c r="M37"/>
  <c r="N37" s="1"/>
  <c r="M39"/>
  <c r="N39" s="1"/>
  <c r="M34" i="20"/>
  <c r="N34" s="1"/>
  <c r="M36"/>
  <c r="N36" s="1"/>
  <c r="M38"/>
  <c r="N38" s="1"/>
  <c r="M40"/>
  <c r="N40" s="1"/>
  <c r="J36" i="19"/>
  <c r="K36" s="1"/>
  <c r="O36" s="1"/>
  <c r="J38"/>
  <c r="K38" s="1"/>
  <c r="J40"/>
  <c r="K40" s="1"/>
  <c r="J42"/>
  <c r="K42" s="1"/>
  <c r="M36" i="18"/>
  <c r="N36" s="1"/>
  <c r="M38"/>
  <c r="N38" s="1"/>
  <c r="M40"/>
  <c r="N40" s="1"/>
  <c r="M42"/>
  <c r="N42" s="1"/>
  <c r="O42" s="1"/>
  <c r="M27" i="23"/>
  <c r="N27" s="1"/>
  <c r="M25" i="22"/>
  <c r="N25" s="1"/>
  <c r="H26"/>
  <c r="M27" i="21"/>
  <c r="N27" s="1"/>
  <c r="H28"/>
  <c r="M25" i="20"/>
  <c r="N25" s="1"/>
  <c r="H26"/>
  <c r="M30" i="19"/>
  <c r="N30" s="1"/>
  <c r="M27" i="18"/>
  <c r="N27" s="1"/>
  <c r="M25" i="23"/>
  <c r="N25" s="1"/>
  <c r="H26"/>
  <c r="M27" i="22"/>
  <c r="N27" s="1"/>
  <c r="M25" i="21"/>
  <c r="N25" s="1"/>
  <c r="M27" i="20"/>
  <c r="N27" s="1"/>
  <c r="M28" i="19"/>
  <c r="N28" s="1"/>
  <c r="M29" i="18"/>
  <c r="N29" s="1"/>
  <c r="J28"/>
  <c r="K28" s="1"/>
  <c r="H30"/>
  <c r="J43"/>
  <c r="K35"/>
  <c r="K43" s="1"/>
  <c r="J30"/>
  <c r="K30" s="1"/>
  <c r="H35"/>
  <c r="H36"/>
  <c r="O36" s="1"/>
  <c r="H37"/>
  <c r="H38"/>
  <c r="F39"/>
  <c r="F40"/>
  <c r="F41"/>
  <c r="H27"/>
  <c r="H29"/>
  <c r="J29" i="19"/>
  <c r="K29" s="1"/>
  <c r="O38"/>
  <c r="O42"/>
  <c r="K35"/>
  <c r="O35" s="1"/>
  <c r="J27"/>
  <c r="K27" s="1"/>
  <c r="H29"/>
  <c r="H28"/>
  <c r="O28" s="1"/>
  <c r="H30"/>
  <c r="M43"/>
  <c r="J26" i="20"/>
  <c r="K26" s="1"/>
  <c r="H28"/>
  <c r="O40"/>
  <c r="J41"/>
  <c r="K33"/>
  <c r="K41" s="1"/>
  <c r="N33"/>
  <c r="J28"/>
  <c r="K28" s="1"/>
  <c r="H33"/>
  <c r="H34"/>
  <c r="H35"/>
  <c r="H36"/>
  <c r="O36" s="1"/>
  <c r="F37"/>
  <c r="F38"/>
  <c r="F39"/>
  <c r="H25"/>
  <c r="O25" s="1"/>
  <c r="H27"/>
  <c r="J26" i="21"/>
  <c r="K26" s="1"/>
  <c r="K33"/>
  <c r="N33"/>
  <c r="H26"/>
  <c r="J28"/>
  <c r="K28" s="1"/>
  <c r="O28" s="1"/>
  <c r="H27"/>
  <c r="O27" s="1"/>
  <c r="J34"/>
  <c r="K34" s="1"/>
  <c r="O34" s="1"/>
  <c r="J37"/>
  <c r="K37" s="1"/>
  <c r="O37" s="1"/>
  <c r="J40"/>
  <c r="K40" s="1"/>
  <c r="O40" s="1"/>
  <c r="H33"/>
  <c r="H35"/>
  <c r="H36"/>
  <c r="O36" s="1"/>
  <c r="F38"/>
  <c r="F39"/>
  <c r="H25"/>
  <c r="J26" i="22"/>
  <c r="K26" s="1"/>
  <c r="H28"/>
  <c r="J41"/>
  <c r="K33"/>
  <c r="K41" s="1"/>
  <c r="N33"/>
  <c r="M41"/>
  <c r="J28"/>
  <c r="K28" s="1"/>
  <c r="F33"/>
  <c r="F34"/>
  <c r="F35"/>
  <c r="F36"/>
  <c r="F37"/>
  <c r="F38"/>
  <c r="F39"/>
  <c r="F40"/>
  <c r="H25"/>
  <c r="O25" s="1"/>
  <c r="H27"/>
  <c r="O27" s="1"/>
  <c r="J26" i="23"/>
  <c r="K26" s="1"/>
  <c r="H28"/>
  <c r="M9"/>
  <c r="N9" s="1"/>
  <c r="J9"/>
  <c r="K9" s="1"/>
  <c r="H9"/>
  <c r="J41"/>
  <c r="K33"/>
  <c r="K41" s="1"/>
  <c r="N33"/>
  <c r="J28"/>
  <c r="K28" s="1"/>
  <c r="F33"/>
  <c r="F34"/>
  <c r="F35"/>
  <c r="F36"/>
  <c r="F37"/>
  <c r="F38"/>
  <c r="F39"/>
  <c r="F40"/>
  <c r="H25"/>
  <c r="H27"/>
  <c r="O27" s="1"/>
  <c r="L40" i="1"/>
  <c r="L39"/>
  <c r="L38"/>
  <c r="I40"/>
  <c r="I39"/>
  <c r="I38"/>
  <c r="F40"/>
  <c r="E40" s="1"/>
  <c r="F39"/>
  <c r="E39" s="1"/>
  <c r="D38"/>
  <c r="J35" i="16"/>
  <c r="I35"/>
  <c r="H35"/>
  <c r="G35"/>
  <c r="F35"/>
  <c r="E35"/>
  <c r="D35"/>
  <c r="C35"/>
  <c r="J34"/>
  <c r="I34"/>
  <c r="H34"/>
  <c r="G34"/>
  <c r="F34"/>
  <c r="E34"/>
  <c r="D34"/>
  <c r="C34"/>
  <c r="J33"/>
  <c r="I33"/>
  <c r="H33"/>
  <c r="G33"/>
  <c r="F33"/>
  <c r="E33"/>
  <c r="D33"/>
  <c r="C33"/>
  <c r="J32"/>
  <c r="I32"/>
  <c r="H32"/>
  <c r="G32"/>
  <c r="F32"/>
  <c r="E32"/>
  <c r="D32"/>
  <c r="C32"/>
  <c r="J31"/>
  <c r="I31"/>
  <c r="H31"/>
  <c r="G31"/>
  <c r="F31"/>
  <c r="E31"/>
  <c r="D31"/>
  <c r="C31"/>
  <c r="J30"/>
  <c r="I30"/>
  <c r="H30"/>
  <c r="G30"/>
  <c r="F30"/>
  <c r="E30"/>
  <c r="D30"/>
  <c r="C30"/>
  <c r="J29"/>
  <c r="I29"/>
  <c r="H29"/>
  <c r="G29"/>
  <c r="F29"/>
  <c r="E29"/>
  <c r="D29"/>
  <c r="C29"/>
  <c r="J28"/>
  <c r="I28"/>
  <c r="H28"/>
  <c r="G28"/>
  <c r="F28"/>
  <c r="E28"/>
  <c r="D28"/>
  <c r="C28"/>
  <c r="J27"/>
  <c r="I27"/>
  <c r="H27"/>
  <c r="G27"/>
  <c r="F27"/>
  <c r="E27"/>
  <c r="D27"/>
  <c r="C27"/>
  <c r="J26"/>
  <c r="I26"/>
  <c r="H26"/>
  <c r="G26"/>
  <c r="F26"/>
  <c r="E26"/>
  <c r="D26"/>
  <c r="C26"/>
  <c r="J25"/>
  <c r="I25"/>
  <c r="H25"/>
  <c r="G25"/>
  <c r="F25"/>
  <c r="E25"/>
  <c r="D25"/>
  <c r="C25"/>
  <c r="J24"/>
  <c r="I24"/>
  <c r="H24"/>
  <c r="G24"/>
  <c r="F24"/>
  <c r="E24"/>
  <c r="D24"/>
  <c r="C24"/>
  <c r="J23"/>
  <c r="I23"/>
  <c r="H23"/>
  <c r="G23"/>
  <c r="F23"/>
  <c r="E23"/>
  <c r="D23"/>
  <c r="C23"/>
  <c r="J22"/>
  <c r="I22"/>
  <c r="H22"/>
  <c r="G22"/>
  <c r="F22"/>
  <c r="E22"/>
  <c r="D22"/>
  <c r="C22"/>
  <c r="K16"/>
  <c r="K33" s="1"/>
  <c r="K15"/>
  <c r="K32" s="1"/>
  <c r="K14"/>
  <c r="K31" s="1"/>
  <c r="K13"/>
  <c r="K30" s="1"/>
  <c r="K12"/>
  <c r="K29" s="1"/>
  <c r="K11"/>
  <c r="K28" s="1"/>
  <c r="K10"/>
  <c r="K27" s="1"/>
  <c r="K9"/>
  <c r="K26" s="1"/>
  <c r="K8"/>
  <c r="K25" s="1"/>
  <c r="K7"/>
  <c r="K24" s="1"/>
  <c r="K6"/>
  <c r="K23" s="1"/>
  <c r="K5"/>
  <c r="K18" s="1"/>
  <c r="K35" s="1"/>
  <c r="G7" i="39" l="1"/>
  <c r="B62" i="20"/>
  <c r="B70"/>
  <c r="B62" i="21"/>
  <c r="B70"/>
  <c r="B72" i="18"/>
  <c r="B72" i="19"/>
  <c r="F38" i="1"/>
  <c r="E38" s="1"/>
  <c r="B65" s="1"/>
  <c r="D41"/>
  <c r="O34" i="20"/>
  <c r="B67" i="19"/>
  <c r="B75"/>
  <c r="B73" i="1"/>
  <c r="X6" i="64"/>
  <c r="W4"/>
  <c r="H7" i="39"/>
  <c r="E10" i="21"/>
  <c r="E7" i="39"/>
  <c r="F7"/>
  <c r="E10" i="20"/>
  <c r="G13" i="41"/>
  <c r="D6" i="22" s="1"/>
  <c r="E6" s="1"/>
  <c r="G18" i="41"/>
  <c r="O27" i="20"/>
  <c r="O35"/>
  <c r="M41"/>
  <c r="M41" i="23"/>
  <c r="O37" i="18"/>
  <c r="E35" i="24" s="1"/>
  <c r="O29" i="19"/>
  <c r="F27" i="24" s="1"/>
  <c r="O39" i="19"/>
  <c r="F37" i="24" s="1"/>
  <c r="O27" i="18"/>
  <c r="O38"/>
  <c r="O26" i="23"/>
  <c r="O25"/>
  <c r="K43" i="19"/>
  <c r="O37"/>
  <c r="F35" i="24" s="1"/>
  <c r="J43" i="19"/>
  <c r="O40"/>
  <c r="F38" i="24" s="1"/>
  <c r="O41" i="19"/>
  <c r="F39" i="24" s="1"/>
  <c r="O26" i="22"/>
  <c r="O30" i="19"/>
  <c r="F28" i="24" s="1"/>
  <c r="O27" i="19"/>
  <c r="F25" i="24" s="1"/>
  <c r="O26" i="20"/>
  <c r="O26" i="21"/>
  <c r="H26" i="24" s="1"/>
  <c r="K35" i="39"/>
  <c r="K37"/>
  <c r="H39" i="1"/>
  <c r="K39" i="39"/>
  <c r="H40" i="23"/>
  <c r="O40" s="1"/>
  <c r="E40"/>
  <c r="J40" i="39" s="1"/>
  <c r="H38" i="23"/>
  <c r="O38" s="1"/>
  <c r="E38"/>
  <c r="J38" i="39" s="1"/>
  <c r="H36" i="23"/>
  <c r="O36" s="1"/>
  <c r="E36"/>
  <c r="J36" i="39" s="1"/>
  <c r="H34" i="23"/>
  <c r="O34" s="1"/>
  <c r="E34"/>
  <c r="J34" i="39" s="1"/>
  <c r="N34" s="1"/>
  <c r="H39" i="22"/>
  <c r="O39" s="1"/>
  <c r="E39"/>
  <c r="I39" i="39" s="1"/>
  <c r="H37" i="22"/>
  <c r="O37" s="1"/>
  <c r="I37" i="24" s="1"/>
  <c r="E37" i="22"/>
  <c r="I37" i="39" s="1"/>
  <c r="H35" i="22"/>
  <c r="O35" s="1"/>
  <c r="I35" i="24" s="1"/>
  <c r="E35" i="22"/>
  <c r="I35" i="39" s="1"/>
  <c r="H33" i="22"/>
  <c r="E33"/>
  <c r="H39" i="21"/>
  <c r="O39" s="1"/>
  <c r="E39"/>
  <c r="H39" i="39" s="1"/>
  <c r="H39" i="20"/>
  <c r="O39" s="1"/>
  <c r="E39"/>
  <c r="G39" i="39" s="1"/>
  <c r="H37" i="20"/>
  <c r="O37" s="1"/>
  <c r="E37"/>
  <c r="K34" i="39"/>
  <c r="K36"/>
  <c r="H38" i="1"/>
  <c r="K38" i="39"/>
  <c r="H40" i="1"/>
  <c r="K40" i="39"/>
  <c r="H39" i="23"/>
  <c r="O39" s="1"/>
  <c r="E39"/>
  <c r="J39" i="39" s="1"/>
  <c r="H37" i="23"/>
  <c r="O37" s="1"/>
  <c r="E37"/>
  <c r="J37" i="39" s="1"/>
  <c r="H35" i="23"/>
  <c r="O35" s="1"/>
  <c r="E35"/>
  <c r="J35" i="39" s="1"/>
  <c r="H33" i="23"/>
  <c r="E33"/>
  <c r="H40" i="22"/>
  <c r="O40" s="1"/>
  <c r="I40" i="24" s="1"/>
  <c r="E40" i="22"/>
  <c r="I40" i="39" s="1"/>
  <c r="H38" i="22"/>
  <c r="O38" s="1"/>
  <c r="I38" i="24" s="1"/>
  <c r="E38" i="22"/>
  <c r="I38" i="39" s="1"/>
  <c r="H36" i="22"/>
  <c r="O36" s="1"/>
  <c r="I36" i="24" s="1"/>
  <c r="E36" i="22"/>
  <c r="I36" i="39" s="1"/>
  <c r="H34" i="22"/>
  <c r="O34" s="1"/>
  <c r="I34" i="24" s="1"/>
  <c r="E34" i="22"/>
  <c r="I34" i="39" s="1"/>
  <c r="M34" s="1"/>
  <c r="H38" i="21"/>
  <c r="O38" s="1"/>
  <c r="H38" i="24" s="1"/>
  <c r="E38" i="21"/>
  <c r="H38" i="39" s="1"/>
  <c r="H38" i="20"/>
  <c r="O38" s="1"/>
  <c r="G38" i="24" s="1"/>
  <c r="E38" i="20"/>
  <c r="G38" i="39" s="1"/>
  <c r="F37"/>
  <c r="E43" i="19"/>
  <c r="F41" i="39" s="1"/>
  <c r="H37"/>
  <c r="E41" i="21"/>
  <c r="H41" i="39" s="1"/>
  <c r="H40" i="18"/>
  <c r="O40" s="1"/>
  <c r="E38" i="24" s="1"/>
  <c r="E40" i="18"/>
  <c r="E38" i="39" s="1"/>
  <c r="H41" i="18"/>
  <c r="O41" s="1"/>
  <c r="E39" i="24" s="1"/>
  <c r="E41" i="18"/>
  <c r="E39" i="39" s="1"/>
  <c r="H39" i="18"/>
  <c r="O39" s="1"/>
  <c r="E37" i="24" s="1"/>
  <c r="E39" i="18"/>
  <c r="O25" i="21"/>
  <c r="H25" i="24" s="1"/>
  <c r="O35" i="21"/>
  <c r="H35" i="24" s="1"/>
  <c r="M41" i="21"/>
  <c r="J27" i="24"/>
  <c r="J40"/>
  <c r="J38"/>
  <c r="J36"/>
  <c r="J34"/>
  <c r="J25"/>
  <c r="J39"/>
  <c r="J37"/>
  <c r="J35"/>
  <c r="J26"/>
  <c r="I25"/>
  <c r="I39"/>
  <c r="I26"/>
  <c r="I27"/>
  <c r="H39"/>
  <c r="H36"/>
  <c r="H37"/>
  <c r="H27"/>
  <c r="H40"/>
  <c r="H34"/>
  <c r="H28"/>
  <c r="G25"/>
  <c r="G36"/>
  <c r="G34"/>
  <c r="G27"/>
  <c r="G39"/>
  <c r="G37"/>
  <c r="G35"/>
  <c r="G40"/>
  <c r="G26"/>
  <c r="F26"/>
  <c r="F33"/>
  <c r="F40"/>
  <c r="F36"/>
  <c r="F34"/>
  <c r="M43" i="18"/>
  <c r="O29"/>
  <c r="E27" i="24" s="1"/>
  <c r="E25"/>
  <c r="E36"/>
  <c r="E34"/>
  <c r="E40"/>
  <c r="O28" i="18"/>
  <c r="N43"/>
  <c r="O35"/>
  <c r="O30"/>
  <c r="N41" i="20"/>
  <c r="O33"/>
  <c r="H41"/>
  <c r="O28"/>
  <c r="O33" i="21"/>
  <c r="N41"/>
  <c r="J41"/>
  <c r="H41"/>
  <c r="K41"/>
  <c r="O28" i="22"/>
  <c r="N41"/>
  <c r="O33"/>
  <c r="H41"/>
  <c r="O9" i="23"/>
  <c r="O28"/>
  <c r="N41"/>
  <c r="O33"/>
  <c r="H41"/>
  <c r="J40" i="1"/>
  <c r="K40" s="1"/>
  <c r="J38"/>
  <c r="K38" s="1"/>
  <c r="M40"/>
  <c r="N40" s="1"/>
  <c r="M38"/>
  <c r="N38" s="1"/>
  <c r="J39"/>
  <c r="K39" s="1"/>
  <c r="M39"/>
  <c r="N39" s="1"/>
  <c r="K22" i="16"/>
  <c r="N8" i="9"/>
  <c r="N9"/>
  <c r="N10"/>
  <c r="N11"/>
  <c r="N12"/>
  <c r="D24" i="1" s="1"/>
  <c r="N13" i="9"/>
  <c r="N14"/>
  <c r="N7"/>
  <c r="L22" i="1"/>
  <c r="L23"/>
  <c r="L24"/>
  <c r="L25"/>
  <c r="L26"/>
  <c r="L27"/>
  <c r="L28"/>
  <c r="L21"/>
  <c r="I22"/>
  <c r="I23"/>
  <c r="I24"/>
  <c r="I25"/>
  <c r="I26"/>
  <c r="I27"/>
  <c r="I28"/>
  <c r="I21"/>
  <c r="L15"/>
  <c r="I15"/>
  <c r="L14"/>
  <c r="I14"/>
  <c r="G25"/>
  <c r="G26"/>
  <c r="G27"/>
  <c r="G28"/>
  <c r="D28"/>
  <c r="E28" s="1"/>
  <c r="D27"/>
  <c r="E27" s="1"/>
  <c r="D26"/>
  <c r="E26" s="1"/>
  <c r="D25"/>
  <c r="E25" s="1"/>
  <c r="BQ44" i="11"/>
  <c r="BQ43"/>
  <c r="BQ42"/>
  <c r="BQ41"/>
  <c r="BQ40"/>
  <c r="BK44"/>
  <c r="BK43"/>
  <c r="BK42"/>
  <c r="BK41"/>
  <c r="BK40"/>
  <c r="BE44"/>
  <c r="BE43"/>
  <c r="BE42"/>
  <c r="BE41"/>
  <c r="BE40"/>
  <c r="AY44"/>
  <c r="AY43"/>
  <c r="AY42"/>
  <c r="AY41"/>
  <c r="AY40"/>
  <c r="AS44"/>
  <c r="AS43"/>
  <c r="AS42"/>
  <c r="AS41"/>
  <c r="AS40"/>
  <c r="AM44"/>
  <c r="AM43"/>
  <c r="AM42"/>
  <c r="AM41"/>
  <c r="AM40"/>
  <c r="AG44"/>
  <c r="AG43"/>
  <c r="AG42"/>
  <c r="AG41"/>
  <c r="AG40"/>
  <c r="AA44"/>
  <c r="AA43"/>
  <c r="AA42"/>
  <c r="AA41"/>
  <c r="AA40"/>
  <c r="U44"/>
  <c r="U43"/>
  <c r="U42"/>
  <c r="U41"/>
  <c r="U40"/>
  <c r="O44"/>
  <c r="O43"/>
  <c r="O42"/>
  <c r="O41"/>
  <c r="O40"/>
  <c r="I44"/>
  <c r="I43"/>
  <c r="I42"/>
  <c r="I41"/>
  <c r="I40"/>
  <c r="C41"/>
  <c r="C40"/>
  <c r="AI29"/>
  <c r="AC29"/>
  <c r="Q29"/>
  <c r="K29"/>
  <c r="C44"/>
  <c r="C43"/>
  <c r="C42"/>
  <c r="G22" i="1"/>
  <c r="G23"/>
  <c r="G24"/>
  <c r="G21"/>
  <c r="O34" i="39" l="1"/>
  <c r="B61" i="22"/>
  <c r="C75" i="18"/>
  <c r="C67"/>
  <c r="B67"/>
  <c r="B75"/>
  <c r="C67" i="19"/>
  <c r="C75"/>
  <c r="C73" i="20"/>
  <c r="C65"/>
  <c r="B73"/>
  <c r="B65"/>
  <c r="C65" i="21"/>
  <c r="C73"/>
  <c r="B65"/>
  <c r="B73"/>
  <c r="C73" i="22"/>
  <c r="C65"/>
  <c r="B65"/>
  <c r="B73"/>
  <c r="C65" i="23"/>
  <c r="C73"/>
  <c r="B73"/>
  <c r="B65"/>
  <c r="F61"/>
  <c r="Y6" i="64"/>
  <c r="X4"/>
  <c r="D8" i="22"/>
  <c r="E8" s="1"/>
  <c r="B63" s="1"/>
  <c r="G14" i="41"/>
  <c r="D7" i="22" s="1"/>
  <c r="E7" s="1"/>
  <c r="B62" s="1"/>
  <c r="H43" i="18"/>
  <c r="O43" i="19"/>
  <c r="F41" i="24" s="1"/>
  <c r="O38" i="1"/>
  <c r="E24"/>
  <c r="K24" i="39" s="1"/>
  <c r="O40" i="1"/>
  <c r="K40" i="24" s="1"/>
  <c r="H41" i="1"/>
  <c r="E37" i="39"/>
  <c r="E43" i="18"/>
  <c r="E41" i="39" s="1"/>
  <c r="E41" i="23"/>
  <c r="J41" i="39" s="1"/>
  <c r="J33"/>
  <c r="G37"/>
  <c r="E54" s="1"/>
  <c r="E41" i="20"/>
  <c r="G41" i="39" s="1"/>
  <c r="E41" i="22"/>
  <c r="I41" i="39" s="1"/>
  <c r="I33"/>
  <c r="K36" i="24"/>
  <c r="K34"/>
  <c r="K38"/>
  <c r="D64"/>
  <c r="J9"/>
  <c r="J33"/>
  <c r="H64" s="1"/>
  <c r="J28"/>
  <c r="I33"/>
  <c r="G64" s="1"/>
  <c r="I28"/>
  <c r="H33"/>
  <c r="F64" s="1"/>
  <c r="F54" i="39"/>
  <c r="G28" i="24"/>
  <c r="G33"/>
  <c r="E64" s="1"/>
  <c r="D54" i="39"/>
  <c r="E28" i="24"/>
  <c r="E33"/>
  <c r="C64" s="1"/>
  <c r="C54" i="39"/>
  <c r="E26" i="24"/>
  <c r="J23" i="39"/>
  <c r="E23" i="18"/>
  <c r="E23" i="19"/>
  <c r="G23" i="39"/>
  <c r="H23"/>
  <c r="I23"/>
  <c r="E22" i="19"/>
  <c r="J22" i="39"/>
  <c r="E22" i="18"/>
  <c r="G22" i="39"/>
  <c r="H22"/>
  <c r="I22"/>
  <c r="E21" i="19"/>
  <c r="H21" i="39"/>
  <c r="J21"/>
  <c r="E21" i="18"/>
  <c r="G21" i="39"/>
  <c r="I21"/>
  <c r="E24" i="18"/>
  <c r="G24" i="39"/>
  <c r="I24"/>
  <c r="E24" i="19"/>
  <c r="H24" i="39"/>
  <c r="J24"/>
  <c r="D22" i="1"/>
  <c r="D21"/>
  <c r="E21" s="1"/>
  <c r="D23"/>
  <c r="K41"/>
  <c r="O43" i="18"/>
  <c r="O41" i="20"/>
  <c r="O41" i="21"/>
  <c r="O41" i="22"/>
  <c r="O41" i="23"/>
  <c r="N41" i="1"/>
  <c r="M41"/>
  <c r="J41"/>
  <c r="O39"/>
  <c r="C73" s="1"/>
  <c r="H27"/>
  <c r="M26"/>
  <c r="N26" s="1"/>
  <c r="M25"/>
  <c r="N25" s="1"/>
  <c r="H7" i="8"/>
  <c r="H6"/>
  <c r="H5"/>
  <c r="E14" i="1" s="1"/>
  <c r="O14" i="2"/>
  <c r="O15"/>
  <c r="O16"/>
  <c r="O17"/>
  <c r="O18"/>
  <c r="O19"/>
  <c r="O20"/>
  <c r="O21"/>
  <c r="O22"/>
  <c r="O23"/>
  <c r="O24"/>
  <c r="O25"/>
  <c r="O26"/>
  <c r="O27"/>
  <c r="O28"/>
  <c r="O29"/>
  <c r="O31"/>
  <c r="O32"/>
  <c r="O33"/>
  <c r="O34"/>
  <c r="O35"/>
  <c r="O36"/>
  <c r="O37"/>
  <c r="O38"/>
  <c r="O39"/>
  <c r="O40"/>
  <c r="O41"/>
  <c r="O42"/>
  <c r="O43"/>
  <c r="O44"/>
  <c r="O45"/>
  <c r="O46"/>
  <c r="O47"/>
  <c r="O49"/>
  <c r="O50"/>
  <c r="O51"/>
  <c r="O52"/>
  <c r="O53"/>
  <c r="O54"/>
  <c r="O55"/>
  <c r="O56"/>
  <c r="O57"/>
  <c r="O58"/>
  <c r="O59"/>
  <c r="O60"/>
  <c r="O61"/>
  <c r="O62"/>
  <c r="O63"/>
  <c r="O64"/>
  <c r="O65"/>
  <c r="O67"/>
  <c r="O68"/>
  <c r="O69"/>
  <c r="O70"/>
  <c r="O71"/>
  <c r="O72"/>
  <c r="O73"/>
  <c r="O74"/>
  <c r="O75"/>
  <c r="O76"/>
  <c r="O77"/>
  <c r="O78"/>
  <c r="O79"/>
  <c r="O80"/>
  <c r="O81"/>
  <c r="O82"/>
  <c r="O83"/>
  <c r="O85"/>
  <c r="O86"/>
  <c r="O87"/>
  <c r="O88"/>
  <c r="O89"/>
  <c r="O90"/>
  <c r="O91"/>
  <c r="O92"/>
  <c r="O93"/>
  <c r="O94"/>
  <c r="O95"/>
  <c r="O96"/>
  <c r="O97"/>
  <c r="O98"/>
  <c r="O99"/>
  <c r="O100"/>
  <c r="O101"/>
  <c r="O103"/>
  <c r="O104"/>
  <c r="O105"/>
  <c r="O106"/>
  <c r="O107"/>
  <c r="O108"/>
  <c r="O109"/>
  <c r="O110"/>
  <c r="O111"/>
  <c r="O112"/>
  <c r="O113"/>
  <c r="O114"/>
  <c r="O115"/>
  <c r="O116"/>
  <c r="O117"/>
  <c r="O118"/>
  <c r="O119"/>
  <c r="O121"/>
  <c r="O122"/>
  <c r="O123"/>
  <c r="O124"/>
  <c r="O125"/>
  <c r="O126"/>
  <c r="O127"/>
  <c r="O128"/>
  <c r="O129"/>
  <c r="O130"/>
  <c r="O131"/>
  <c r="O132"/>
  <c r="O133"/>
  <c r="O134"/>
  <c r="O135"/>
  <c r="O136"/>
  <c r="O137"/>
  <c r="O13"/>
  <c r="E21" i="39" l="1"/>
  <c r="B74" i="18"/>
  <c r="B63"/>
  <c r="E23" i="39"/>
  <c r="B65" i="18"/>
  <c r="G54" i="39"/>
  <c r="M33"/>
  <c r="M35" s="1"/>
  <c r="H54"/>
  <c r="N33"/>
  <c r="N35" s="1"/>
  <c r="F21"/>
  <c r="B74" i="19"/>
  <c r="B63"/>
  <c r="E22" i="39"/>
  <c r="B64" i="18"/>
  <c r="F22" i="39"/>
  <c r="B64" i="19"/>
  <c r="F23" i="39"/>
  <c r="B65" i="19"/>
  <c r="B70" i="22"/>
  <c r="Z6" i="64"/>
  <c r="Y4"/>
  <c r="E10" i="22"/>
  <c r="G20" i="41"/>
  <c r="E16" i="1"/>
  <c r="K16" i="39" s="1"/>
  <c r="E16" i="23"/>
  <c r="J16" i="39" s="1"/>
  <c r="E15" i="1"/>
  <c r="B71" s="1"/>
  <c r="E15" i="23"/>
  <c r="J24" i="1"/>
  <c r="K24" s="1"/>
  <c r="E31" i="19"/>
  <c r="F29" i="39" s="1"/>
  <c r="E17" i="1"/>
  <c r="E23"/>
  <c r="J23" s="1"/>
  <c r="K23" s="1"/>
  <c r="E22"/>
  <c r="K22" i="39" s="1"/>
  <c r="H23" i="1"/>
  <c r="J26"/>
  <c r="K26" s="1"/>
  <c r="K26" i="39"/>
  <c r="J25" i="1"/>
  <c r="K25" s="1"/>
  <c r="K25" i="39"/>
  <c r="J21" i="1"/>
  <c r="K21" s="1"/>
  <c r="K21" i="39"/>
  <c r="J28" i="1"/>
  <c r="K28" s="1"/>
  <c r="K28" i="39"/>
  <c r="J27" i="1"/>
  <c r="K27" s="1"/>
  <c r="K27" i="39"/>
  <c r="E41" i="1"/>
  <c r="B79" s="1"/>
  <c r="K33" i="39"/>
  <c r="M21" i="1"/>
  <c r="E31" i="18"/>
  <c r="E29" i="39" s="1"/>
  <c r="K39" i="24"/>
  <c r="K37"/>
  <c r="K35"/>
  <c r="J41"/>
  <c r="I41"/>
  <c r="H41"/>
  <c r="G41"/>
  <c r="E41"/>
  <c r="H26" i="1"/>
  <c r="M24" i="23"/>
  <c r="N24" s="1"/>
  <c r="H24"/>
  <c r="J24"/>
  <c r="K24" s="1"/>
  <c r="J24" i="19"/>
  <c r="H24"/>
  <c r="M24"/>
  <c r="M24" i="20"/>
  <c r="N24" s="1"/>
  <c r="H24"/>
  <c r="J24"/>
  <c r="K24" s="1"/>
  <c r="J21" i="22"/>
  <c r="M21"/>
  <c r="I29" i="39"/>
  <c r="H21" i="22"/>
  <c r="J21" i="18"/>
  <c r="M21"/>
  <c r="H21"/>
  <c r="H21" i="21"/>
  <c r="J21"/>
  <c r="H29" i="39"/>
  <c r="M21" i="21"/>
  <c r="M22" i="22"/>
  <c r="N22" s="1"/>
  <c r="J22"/>
  <c r="K22" s="1"/>
  <c r="H22"/>
  <c r="M22" i="20"/>
  <c r="N22" s="1"/>
  <c r="H22"/>
  <c r="J22"/>
  <c r="K22" s="1"/>
  <c r="M22" i="23"/>
  <c r="N22" s="1"/>
  <c r="H22"/>
  <c r="J22"/>
  <c r="K22" s="1"/>
  <c r="J23" i="22"/>
  <c r="K23" s="1"/>
  <c r="H23"/>
  <c r="M23"/>
  <c r="N23" s="1"/>
  <c r="J23" i="20"/>
  <c r="K23" s="1"/>
  <c r="M23"/>
  <c r="N23" s="1"/>
  <c r="H23"/>
  <c r="J23" i="18"/>
  <c r="K23" s="1"/>
  <c r="M23"/>
  <c r="N23" s="1"/>
  <c r="H23"/>
  <c r="M24" i="21"/>
  <c r="N24" s="1"/>
  <c r="H24"/>
  <c r="J24"/>
  <c r="K24" s="1"/>
  <c r="M24" i="22"/>
  <c r="N24" s="1"/>
  <c r="H24"/>
  <c r="J24"/>
  <c r="K24" s="1"/>
  <c r="M24" i="18"/>
  <c r="J24"/>
  <c r="H24"/>
  <c r="J21" i="20"/>
  <c r="M21"/>
  <c r="G29" i="39"/>
  <c r="H21" i="20"/>
  <c r="J21" i="23"/>
  <c r="H21"/>
  <c r="M21"/>
  <c r="J29" i="39"/>
  <c r="J21" i="19"/>
  <c r="H21"/>
  <c r="M21"/>
  <c r="M22" i="21"/>
  <c r="N22" s="1"/>
  <c r="H22"/>
  <c r="J22"/>
  <c r="K22" s="1"/>
  <c r="M22" i="18"/>
  <c r="N22" s="1"/>
  <c r="J22"/>
  <c r="K22" s="1"/>
  <c r="H22"/>
  <c r="J22" i="19"/>
  <c r="K22" s="1"/>
  <c r="M22"/>
  <c r="N22" s="1"/>
  <c r="H22"/>
  <c r="J23" i="21"/>
  <c r="K23" s="1"/>
  <c r="M23"/>
  <c r="N23" s="1"/>
  <c r="H23"/>
  <c r="M23" i="19"/>
  <c r="N23" s="1"/>
  <c r="J23"/>
  <c r="K23" s="1"/>
  <c r="H23"/>
  <c r="J23" i="23"/>
  <c r="K23" s="1"/>
  <c r="M23"/>
  <c r="N23" s="1"/>
  <c r="H23"/>
  <c r="H21" i="1"/>
  <c r="I9" i="39"/>
  <c r="I7"/>
  <c r="I8"/>
  <c r="E6" i="1"/>
  <c r="F14" i="39"/>
  <c r="E14" i="23"/>
  <c r="B71" s="1"/>
  <c r="E14" i="39"/>
  <c r="G14"/>
  <c r="H14"/>
  <c r="I14"/>
  <c r="E15"/>
  <c r="G15"/>
  <c r="H15"/>
  <c r="I15"/>
  <c r="F15"/>
  <c r="J15"/>
  <c r="K15"/>
  <c r="F16"/>
  <c r="E16"/>
  <c r="G16"/>
  <c r="H16"/>
  <c r="I16"/>
  <c r="N21" i="1"/>
  <c r="H28"/>
  <c r="M28"/>
  <c r="N28" s="1"/>
  <c r="H25"/>
  <c r="M27"/>
  <c r="N27" s="1"/>
  <c r="H24"/>
  <c r="M24"/>
  <c r="N24" s="1"/>
  <c r="B61" l="1"/>
  <c r="I54" i="39"/>
  <c r="O33"/>
  <c r="O35" s="1"/>
  <c r="B72" i="1"/>
  <c r="K41" i="39"/>
  <c r="AA6" i="64"/>
  <c r="Z4"/>
  <c r="K6" i="39"/>
  <c r="J14"/>
  <c r="E17" i="23"/>
  <c r="M23" i="1"/>
  <c r="N23" s="1"/>
  <c r="O23" s="1"/>
  <c r="K23" i="24" s="1"/>
  <c r="E29" i="1"/>
  <c r="K29" i="39" s="1"/>
  <c r="K23"/>
  <c r="E8" i="1"/>
  <c r="B63" s="1"/>
  <c r="E7"/>
  <c r="B62" s="1"/>
  <c r="E9"/>
  <c r="O27"/>
  <c r="O21"/>
  <c r="O26"/>
  <c r="O25"/>
  <c r="N24" i="18"/>
  <c r="M31"/>
  <c r="H31"/>
  <c r="H31" i="19"/>
  <c r="K24" i="18"/>
  <c r="J31"/>
  <c r="N24" i="19"/>
  <c r="M31"/>
  <c r="K24"/>
  <c r="O24" s="1"/>
  <c r="J31"/>
  <c r="K17" i="39"/>
  <c r="K14"/>
  <c r="K26" i="24"/>
  <c r="K25"/>
  <c r="K27"/>
  <c r="O23" i="23"/>
  <c r="J23" i="24" s="1"/>
  <c r="O24" i="22"/>
  <c r="O23"/>
  <c r="O22"/>
  <c r="O23" i="21"/>
  <c r="O22" i="18"/>
  <c r="O22" i="21"/>
  <c r="O24" i="18"/>
  <c r="O24" i="21"/>
  <c r="O23" i="20"/>
  <c r="O24"/>
  <c r="O41" i="1"/>
  <c r="K33" i="24"/>
  <c r="I64" s="1"/>
  <c r="C65" i="1"/>
  <c r="O24" i="23"/>
  <c r="C64" s="1"/>
  <c r="N21" i="19"/>
  <c r="K21"/>
  <c r="H29" i="23"/>
  <c r="H29" i="20"/>
  <c r="N21"/>
  <c r="N29" s="1"/>
  <c r="M29"/>
  <c r="H29" i="21"/>
  <c r="K21" i="18"/>
  <c r="K21" i="22"/>
  <c r="K29" s="1"/>
  <c r="J29"/>
  <c r="M29" i="23"/>
  <c r="N21"/>
  <c r="N29" s="1"/>
  <c r="K21"/>
  <c r="K29" s="1"/>
  <c r="J29"/>
  <c r="K21" i="20"/>
  <c r="K29" s="1"/>
  <c r="J29"/>
  <c r="N21" i="21"/>
  <c r="N29" s="1"/>
  <c r="M29"/>
  <c r="J29"/>
  <c r="K21"/>
  <c r="K29" s="1"/>
  <c r="N21" i="18"/>
  <c r="H29" i="22"/>
  <c r="N21"/>
  <c r="N29" s="1"/>
  <c r="M29"/>
  <c r="O23" i="19"/>
  <c r="O22"/>
  <c r="O23" i="18"/>
  <c r="O22" i="23"/>
  <c r="O22" i="20"/>
  <c r="J7" i="21"/>
  <c r="K7" s="1"/>
  <c r="H7"/>
  <c r="M7"/>
  <c r="N7" s="1"/>
  <c r="J7" i="19"/>
  <c r="K7" s="1"/>
  <c r="M7"/>
  <c r="N7" s="1"/>
  <c r="H7"/>
  <c r="M9" i="20"/>
  <c r="N9" s="1"/>
  <c r="H9"/>
  <c r="J9"/>
  <c r="K9" s="1"/>
  <c r="M9" i="18"/>
  <c r="N9" s="1"/>
  <c r="H9"/>
  <c r="J9"/>
  <c r="K9" s="1"/>
  <c r="I6" i="39"/>
  <c r="D10" i="22"/>
  <c r="D10" i="20"/>
  <c r="D10" i="18"/>
  <c r="J8" i="22"/>
  <c r="K8" s="1"/>
  <c r="M8"/>
  <c r="N8" s="1"/>
  <c r="H8"/>
  <c r="M8" i="20"/>
  <c r="N8" s="1"/>
  <c r="H8"/>
  <c r="J8"/>
  <c r="K8" s="1"/>
  <c r="M8" i="18"/>
  <c r="N8" s="1"/>
  <c r="H8"/>
  <c r="J8"/>
  <c r="K8" s="1"/>
  <c r="D10" i="21"/>
  <c r="D10" i="19"/>
  <c r="M8" i="21"/>
  <c r="N8" s="1"/>
  <c r="J8"/>
  <c r="K8" s="1"/>
  <c r="H8"/>
  <c r="M8" i="19"/>
  <c r="N8" s="1"/>
  <c r="H8"/>
  <c r="J8"/>
  <c r="K8" s="1"/>
  <c r="J7" i="22"/>
  <c r="K7" s="1"/>
  <c r="M7"/>
  <c r="N7" s="1"/>
  <c r="H7"/>
  <c r="J7" i="20"/>
  <c r="K7" s="1"/>
  <c r="M7"/>
  <c r="N7" s="1"/>
  <c r="H7"/>
  <c r="J7" i="18"/>
  <c r="K7" s="1"/>
  <c r="M7"/>
  <c r="N7" s="1"/>
  <c r="H7"/>
  <c r="M9" i="22"/>
  <c r="N9" s="1"/>
  <c r="H9"/>
  <c r="J9"/>
  <c r="K9" s="1"/>
  <c r="M9" i="19"/>
  <c r="N9" s="1"/>
  <c r="H9"/>
  <c r="J9"/>
  <c r="K9" s="1"/>
  <c r="H9" i="21"/>
  <c r="J9"/>
  <c r="K9" s="1"/>
  <c r="M9"/>
  <c r="N9" s="1"/>
  <c r="M16"/>
  <c r="N16" s="1"/>
  <c r="H16"/>
  <c r="J16"/>
  <c r="K16" s="1"/>
  <c r="H16" i="18"/>
  <c r="M16"/>
  <c r="N16" s="1"/>
  <c r="J16"/>
  <c r="K16" s="1"/>
  <c r="H16" i="19"/>
  <c r="M16"/>
  <c r="N16" s="1"/>
  <c r="J16"/>
  <c r="K16" s="1"/>
  <c r="J15" i="23"/>
  <c r="K15" s="1"/>
  <c r="H15"/>
  <c r="M15"/>
  <c r="N15" s="1"/>
  <c r="J15" i="22"/>
  <c r="K15" s="1"/>
  <c r="H15"/>
  <c r="M15"/>
  <c r="N15" s="1"/>
  <c r="J15" i="20"/>
  <c r="K15" s="1"/>
  <c r="H15"/>
  <c r="M15"/>
  <c r="N15" s="1"/>
  <c r="I17" i="39"/>
  <c r="J14" i="22"/>
  <c r="M14"/>
  <c r="H14"/>
  <c r="G17" i="39"/>
  <c r="M14" i="20"/>
  <c r="J14"/>
  <c r="H14"/>
  <c r="J17" i="39"/>
  <c r="J14" i="23"/>
  <c r="M14"/>
  <c r="H14"/>
  <c r="H16" i="22"/>
  <c r="J16"/>
  <c r="K16" s="1"/>
  <c r="M16"/>
  <c r="N16" s="1"/>
  <c r="H16" i="20"/>
  <c r="M16"/>
  <c r="N16" s="1"/>
  <c r="J16"/>
  <c r="K16" s="1"/>
  <c r="H16" i="23"/>
  <c r="J16"/>
  <c r="K16" s="1"/>
  <c r="M16"/>
  <c r="N16" s="1"/>
  <c r="J15" i="19"/>
  <c r="K15" s="1"/>
  <c r="H15"/>
  <c r="M15"/>
  <c r="N15" s="1"/>
  <c r="H17" i="39"/>
  <c r="J15" i="21"/>
  <c r="K15" s="1"/>
  <c r="M15"/>
  <c r="N15" s="1"/>
  <c r="H15"/>
  <c r="J15" i="18"/>
  <c r="K15" s="1"/>
  <c r="H15"/>
  <c r="M15"/>
  <c r="N15" s="1"/>
  <c r="J14" i="21"/>
  <c r="H14"/>
  <c r="M14"/>
  <c r="E17" i="18"/>
  <c r="E17" i="39" s="1"/>
  <c r="M14" i="18"/>
  <c r="J14"/>
  <c r="H14"/>
  <c r="E17" i="19"/>
  <c r="F17" i="39" s="1"/>
  <c r="M14" i="19"/>
  <c r="H14"/>
  <c r="J14"/>
  <c r="D10" i="1"/>
  <c r="O28"/>
  <c r="O24"/>
  <c r="J22"/>
  <c r="M22"/>
  <c r="H22"/>
  <c r="H29" s="1"/>
  <c r="H15"/>
  <c r="M15"/>
  <c r="N15" s="1"/>
  <c r="J15"/>
  <c r="K15" s="1"/>
  <c r="H6"/>
  <c r="M6"/>
  <c r="J6"/>
  <c r="H9"/>
  <c r="J9"/>
  <c r="K9" s="1"/>
  <c r="H16"/>
  <c r="M16"/>
  <c r="N16" s="1"/>
  <c r="J16"/>
  <c r="K16" s="1"/>
  <c r="H14"/>
  <c r="M14"/>
  <c r="J14"/>
  <c r="M7"/>
  <c r="N7" s="1"/>
  <c r="K21" i="24" l="1"/>
  <c r="M9" i="1"/>
  <c r="N9" s="1"/>
  <c r="B64"/>
  <c r="B70"/>
  <c r="AB6" i="64"/>
  <c r="AA4"/>
  <c r="K9" i="39"/>
  <c r="K8"/>
  <c r="H53"/>
  <c r="O21" i="19"/>
  <c r="F21" i="24" s="1"/>
  <c r="O9" i="22"/>
  <c r="C64" s="1"/>
  <c r="O7"/>
  <c r="I7" i="24" s="1"/>
  <c r="E10" i="1"/>
  <c r="J7"/>
  <c r="K7" s="1"/>
  <c r="H7"/>
  <c r="K7" i="39"/>
  <c r="K31" i="19"/>
  <c r="N31"/>
  <c r="K31" i="18"/>
  <c r="N31"/>
  <c r="K24" i="24"/>
  <c r="K28"/>
  <c r="K41"/>
  <c r="I22"/>
  <c r="G51" i="39"/>
  <c r="I24" i="24"/>
  <c r="G53" i="39"/>
  <c r="I23" i="24"/>
  <c r="H24"/>
  <c r="H22"/>
  <c r="H23"/>
  <c r="G22"/>
  <c r="G24"/>
  <c r="G23"/>
  <c r="F23"/>
  <c r="F22"/>
  <c r="O31" i="19"/>
  <c r="C74" s="1"/>
  <c r="O7" i="18"/>
  <c r="E7" i="24" s="1"/>
  <c r="E23"/>
  <c r="E22"/>
  <c r="C51" i="39"/>
  <c r="J24" i="24"/>
  <c r="H63" s="1"/>
  <c r="J22"/>
  <c r="O8" i="18"/>
  <c r="C65" s="1"/>
  <c r="O9" i="21"/>
  <c r="C64" s="1"/>
  <c r="O8"/>
  <c r="C63" s="1"/>
  <c r="O9" i="20"/>
  <c r="C64" s="1"/>
  <c r="O7" i="19"/>
  <c r="C64" s="1"/>
  <c r="O7" i="21"/>
  <c r="C62" s="1"/>
  <c r="O8" i="19"/>
  <c r="C65" s="1"/>
  <c r="O21" i="22"/>
  <c r="C72" s="1"/>
  <c r="O21" i="21"/>
  <c r="C72" s="1"/>
  <c r="O21" i="18"/>
  <c r="O21" i="20"/>
  <c r="C72" s="1"/>
  <c r="O21" i="23"/>
  <c r="C72" s="1"/>
  <c r="E10" i="19"/>
  <c r="J6"/>
  <c r="M6"/>
  <c r="H6"/>
  <c r="J6" i="21"/>
  <c r="M6"/>
  <c r="H10" i="39"/>
  <c r="H6" i="21"/>
  <c r="E10" i="18"/>
  <c r="J6"/>
  <c r="M6"/>
  <c r="H6"/>
  <c r="G10" i="39"/>
  <c r="J6" i="20"/>
  <c r="M6"/>
  <c r="H6"/>
  <c r="M6" i="22"/>
  <c r="H6"/>
  <c r="I10" i="39"/>
  <c r="J6" i="22"/>
  <c r="O9" i="19"/>
  <c r="C66" s="1"/>
  <c r="O7" i="20"/>
  <c r="C62" s="1"/>
  <c r="O8"/>
  <c r="C63" s="1"/>
  <c r="O8" i="22"/>
  <c r="C63" s="1"/>
  <c r="O9" i="18"/>
  <c r="O15" i="20"/>
  <c r="O15" i="23"/>
  <c r="O16" i="19"/>
  <c r="O15"/>
  <c r="O16" i="21"/>
  <c r="H17" i="19"/>
  <c r="K14" i="18"/>
  <c r="K17" s="1"/>
  <c r="J17"/>
  <c r="H17" i="21"/>
  <c r="M17" i="23"/>
  <c r="N14"/>
  <c r="N17" s="1"/>
  <c r="K14" i="20"/>
  <c r="K17" s="1"/>
  <c r="J17"/>
  <c r="N14" i="22"/>
  <c r="N17" s="1"/>
  <c r="M17"/>
  <c r="K14" i="19"/>
  <c r="K17" s="1"/>
  <c r="J17"/>
  <c r="N14"/>
  <c r="N17" s="1"/>
  <c r="M17"/>
  <c r="H17" i="18"/>
  <c r="N14"/>
  <c r="N17" s="1"/>
  <c r="M17"/>
  <c r="N14" i="21"/>
  <c r="N17" s="1"/>
  <c r="M17"/>
  <c r="K14"/>
  <c r="K17" s="1"/>
  <c r="J17"/>
  <c r="H17" i="23"/>
  <c r="K14"/>
  <c r="K17" s="1"/>
  <c r="J17"/>
  <c r="H17" i="20"/>
  <c r="N14"/>
  <c r="N17" s="1"/>
  <c r="M17"/>
  <c r="H17" i="22"/>
  <c r="K14"/>
  <c r="K17" s="1"/>
  <c r="J17"/>
  <c r="O15" i="18"/>
  <c r="O15" i="21"/>
  <c r="O16" i="23"/>
  <c r="O16" i="20"/>
  <c r="O16" i="22"/>
  <c r="O15"/>
  <c r="O16" i="18"/>
  <c r="K22" i="1"/>
  <c r="K29" s="1"/>
  <c r="J29"/>
  <c r="K14"/>
  <c r="K17" s="1"/>
  <c r="J17"/>
  <c r="N6"/>
  <c r="N22"/>
  <c r="N29" s="1"/>
  <c r="M29"/>
  <c r="H17"/>
  <c r="N14"/>
  <c r="N17" s="1"/>
  <c r="M17"/>
  <c r="K6"/>
  <c r="O6" s="1"/>
  <c r="H8"/>
  <c r="M8"/>
  <c r="N8" s="1"/>
  <c r="J8"/>
  <c r="K8" s="1"/>
  <c r="O9"/>
  <c r="I53" i="39" s="1"/>
  <c r="O15" i="1"/>
  <c r="O16"/>
  <c r="C53" i="39" l="1"/>
  <c r="C66" i="18"/>
  <c r="C62" i="22"/>
  <c r="C64" i="18"/>
  <c r="AC6" i="64"/>
  <c r="AB4"/>
  <c r="F10" i="39"/>
  <c r="K10"/>
  <c r="E10"/>
  <c r="H10" i="1"/>
  <c r="H58" s="1"/>
  <c r="D53" i="39"/>
  <c r="F53"/>
  <c r="I9" i="24"/>
  <c r="G63" s="1"/>
  <c r="G61"/>
  <c r="O7" i="1"/>
  <c r="K7" i="24" s="1"/>
  <c r="K16"/>
  <c r="K6"/>
  <c r="K15"/>
  <c r="E53" i="39"/>
  <c r="J16" i="24"/>
  <c r="J15"/>
  <c r="I15"/>
  <c r="G52" i="39"/>
  <c r="I16" i="24"/>
  <c r="H15"/>
  <c r="H16"/>
  <c r="F52" i="39"/>
  <c r="F51"/>
  <c r="G16" i="24"/>
  <c r="G15"/>
  <c r="E52" i="39"/>
  <c r="E51"/>
  <c r="F15" i="24"/>
  <c r="F29"/>
  <c r="F16"/>
  <c r="D51" i="39"/>
  <c r="D52"/>
  <c r="C61" i="24"/>
  <c r="C52" i="39"/>
  <c r="E16" i="24"/>
  <c r="E15"/>
  <c r="C64" i="1"/>
  <c r="K9" i="24"/>
  <c r="I63" s="1"/>
  <c r="E9"/>
  <c r="C63" s="1"/>
  <c r="G8"/>
  <c r="E62" s="1"/>
  <c r="F9"/>
  <c r="D63" s="1"/>
  <c r="O29" i="23"/>
  <c r="J21" i="24"/>
  <c r="E21"/>
  <c r="O31" i="18"/>
  <c r="C74" s="1"/>
  <c r="O29" i="22"/>
  <c r="I21" i="24"/>
  <c r="H7"/>
  <c r="F61" s="1"/>
  <c r="G9"/>
  <c r="E63" s="1"/>
  <c r="H9"/>
  <c r="F63" s="1"/>
  <c r="I8"/>
  <c r="G62" s="1"/>
  <c r="G7"/>
  <c r="E61" s="1"/>
  <c r="O29" i="20"/>
  <c r="G21" i="24"/>
  <c r="O29" i="21"/>
  <c r="H21" i="24"/>
  <c r="F8"/>
  <c r="D62" s="1"/>
  <c r="F7"/>
  <c r="D61" s="1"/>
  <c r="H8"/>
  <c r="F62" s="1"/>
  <c r="E8"/>
  <c r="C62" s="1"/>
  <c r="O22" i="1"/>
  <c r="N6" i="22"/>
  <c r="N10" s="1"/>
  <c r="N58" s="1"/>
  <c r="M10"/>
  <c r="M58" s="1"/>
  <c r="M10" i="20"/>
  <c r="N6"/>
  <c r="N10" s="1"/>
  <c r="N58" s="1"/>
  <c r="M10" i="18"/>
  <c r="N6"/>
  <c r="N10" s="1"/>
  <c r="N60" s="1"/>
  <c r="K6" i="21"/>
  <c r="K10" s="1"/>
  <c r="K58" s="1"/>
  <c r="J10"/>
  <c r="N6" i="19"/>
  <c r="N10" s="1"/>
  <c r="N60" s="1"/>
  <c r="M10"/>
  <c r="M60" s="1"/>
  <c r="M58" i="20"/>
  <c r="J58" i="21"/>
  <c r="M60" i="18"/>
  <c r="K6" i="22"/>
  <c r="K10" s="1"/>
  <c r="K58" s="1"/>
  <c r="J10"/>
  <c r="J58" s="1"/>
  <c r="H10"/>
  <c r="H58" s="1"/>
  <c r="H10" i="20"/>
  <c r="H58" s="1"/>
  <c r="K6"/>
  <c r="K10" s="1"/>
  <c r="K58" s="1"/>
  <c r="J10"/>
  <c r="J58" s="1"/>
  <c r="H10" i="18"/>
  <c r="H60" s="1"/>
  <c r="J10"/>
  <c r="J60" s="1"/>
  <c r="K6"/>
  <c r="K10" s="1"/>
  <c r="K60" s="1"/>
  <c r="H10" i="21"/>
  <c r="H58" s="1"/>
  <c r="M10"/>
  <c r="M58" s="1"/>
  <c r="N6"/>
  <c r="N10" s="1"/>
  <c r="N58" s="1"/>
  <c r="H10" i="19"/>
  <c r="H60" s="1"/>
  <c r="K6"/>
  <c r="K10" s="1"/>
  <c r="K60" s="1"/>
  <c r="J10"/>
  <c r="J60" s="1"/>
  <c r="M10" i="1"/>
  <c r="M58" s="1"/>
  <c r="O14"/>
  <c r="O14" i="22"/>
  <c r="O14" i="20"/>
  <c r="C71" s="1"/>
  <c r="O14" i="23"/>
  <c r="C71" s="1"/>
  <c r="O14" i="18"/>
  <c r="C73" s="1"/>
  <c r="O14" i="21"/>
  <c r="C71" s="1"/>
  <c r="O14" i="19"/>
  <c r="C73" s="1"/>
  <c r="J10" i="1"/>
  <c r="J58" s="1"/>
  <c r="K10"/>
  <c r="K58" s="1"/>
  <c r="N10"/>
  <c r="N58" s="1"/>
  <c r="O8"/>
  <c r="I52" i="39" s="1"/>
  <c r="I50" l="1"/>
  <c r="C71" i="1"/>
  <c r="O29"/>
  <c r="C72"/>
  <c r="O17" i="22"/>
  <c r="C71"/>
  <c r="C70" i="1"/>
  <c r="AD6" i="64"/>
  <c r="AC4"/>
  <c r="C62" i="1"/>
  <c r="K29" i="24"/>
  <c r="K22"/>
  <c r="I61" s="1"/>
  <c r="I51" i="39"/>
  <c r="I56" s="1"/>
  <c r="J29" i="24"/>
  <c r="I14"/>
  <c r="O6" i="22"/>
  <c r="I29" i="24"/>
  <c r="H14"/>
  <c r="H29"/>
  <c r="G29"/>
  <c r="F14"/>
  <c r="E29"/>
  <c r="I17"/>
  <c r="C63" i="1"/>
  <c r="K8" i="24"/>
  <c r="I62" s="1"/>
  <c r="O17" i="18"/>
  <c r="E14" i="24"/>
  <c r="O17" i="20"/>
  <c r="G14" i="24"/>
  <c r="C61" i="1"/>
  <c r="K14" i="24"/>
  <c r="I60" s="1"/>
  <c r="J14"/>
  <c r="O6" i="20"/>
  <c r="O6" i="19"/>
  <c r="O17" i="23"/>
  <c r="O6" i="21"/>
  <c r="O6" i="18"/>
  <c r="O17" i="1"/>
  <c r="O17" i="19"/>
  <c r="O17" i="21"/>
  <c r="O10" i="1"/>
  <c r="C50" i="39" l="1"/>
  <c r="C56" s="1"/>
  <c r="C63" i="18"/>
  <c r="C72"/>
  <c r="C61" i="20"/>
  <c r="C70"/>
  <c r="C70" i="21"/>
  <c r="C61"/>
  <c r="C72" i="19"/>
  <c r="C63"/>
  <c r="O10" i="22"/>
  <c r="C61"/>
  <c r="C70"/>
  <c r="AE6" i="64"/>
  <c r="AD4"/>
  <c r="E50" i="39"/>
  <c r="E56" s="1"/>
  <c r="I6" i="24"/>
  <c r="G60" s="1"/>
  <c r="G67" s="1"/>
  <c r="O58" i="1"/>
  <c r="I67" i="24"/>
  <c r="M8" s="1"/>
  <c r="K10"/>
  <c r="K17"/>
  <c r="G50" i="39"/>
  <c r="G56" s="1"/>
  <c r="J17" i="24"/>
  <c r="I10"/>
  <c r="F50" i="39"/>
  <c r="F56" s="1"/>
  <c r="H17" i="24"/>
  <c r="G17"/>
  <c r="D50" i="39"/>
  <c r="D56" s="1"/>
  <c r="E17" i="24"/>
  <c r="O10" i="18"/>
  <c r="E6" i="24"/>
  <c r="C60" s="1"/>
  <c r="C67" s="1"/>
  <c r="O10" i="19"/>
  <c r="O60" s="1"/>
  <c r="F6" i="24"/>
  <c r="D60" s="1"/>
  <c r="D67" s="1"/>
  <c r="O10" i="20"/>
  <c r="G6" i="24"/>
  <c r="E60" s="1"/>
  <c r="E67" s="1"/>
  <c r="O58" i="22"/>
  <c r="F17" i="24"/>
  <c r="O10" i="21"/>
  <c r="H6" i="24"/>
  <c r="F60" s="1"/>
  <c r="F67" s="1"/>
  <c r="AF6" i="64" l="1"/>
  <c r="AE4"/>
  <c r="H10" i="24"/>
  <c r="O58" i="21"/>
  <c r="F10" i="24"/>
  <c r="G10"/>
  <c r="O58" i="20"/>
  <c r="O60" i="18"/>
  <c r="E10" i="24"/>
  <c r="H18" i="41"/>
  <c r="AG6" i="64" l="1"/>
  <c r="AF4"/>
  <c r="D8" i="23"/>
  <c r="E8" s="1"/>
  <c r="H10" i="41"/>
  <c r="M8" i="23" l="1"/>
  <c r="N8" s="1"/>
  <c r="B63"/>
  <c r="H8"/>
  <c r="J8"/>
  <c r="K8" s="1"/>
  <c r="AH6" i="64"/>
  <c r="AG4"/>
  <c r="J8" i="39"/>
  <c r="H52" s="1"/>
  <c r="H13" i="41"/>
  <c r="D6" i="23" s="1"/>
  <c r="H12" i="41"/>
  <c r="O8" i="23" l="1"/>
  <c r="C63" s="1"/>
  <c r="AI6" i="64"/>
  <c r="AH4"/>
  <c r="E6" i="23"/>
  <c r="H14" i="41"/>
  <c r="B61" i="23" l="1"/>
  <c r="J8" i="24"/>
  <c r="H62" s="1"/>
  <c r="AJ6" i="64"/>
  <c r="AI4"/>
  <c r="D7" i="23"/>
  <c r="E7" s="1"/>
  <c r="H20" i="41"/>
  <c r="D10" i="23"/>
  <c r="J6"/>
  <c r="M6"/>
  <c r="J6" i="39"/>
  <c r="H50" s="1"/>
  <c r="H6" i="23"/>
  <c r="J7" l="1"/>
  <c r="K7" s="1"/>
  <c r="B62"/>
  <c r="B70"/>
  <c r="M7"/>
  <c r="N7" s="1"/>
  <c r="H7"/>
  <c r="O7" s="1"/>
  <c r="E10"/>
  <c r="J10" i="39" s="1"/>
  <c r="J7"/>
  <c r="H51" s="1"/>
  <c r="H56" s="1"/>
  <c r="AK6" i="64"/>
  <c r="AJ4"/>
  <c r="K6" i="23"/>
  <c r="K10" s="1"/>
  <c r="K58" s="1"/>
  <c r="M10"/>
  <c r="M58" s="1"/>
  <c r="N6"/>
  <c r="N10" s="1"/>
  <c r="N58" s="1"/>
  <c r="J7" i="24" l="1"/>
  <c r="H61" s="1"/>
  <c r="C62" i="23"/>
  <c r="J10"/>
  <c r="J58" s="1"/>
  <c r="H10"/>
  <c r="H58" s="1"/>
  <c r="AL6" i="64"/>
  <c r="AK4"/>
  <c r="O6" i="23"/>
  <c r="O10" l="1"/>
  <c r="J10" i="24" s="1"/>
  <c r="C70" i="23"/>
  <c r="C61"/>
  <c r="AM6" i="64"/>
  <c r="AL4"/>
  <c r="J6" i="24"/>
  <c r="H60" s="1"/>
  <c r="H67" s="1"/>
  <c r="O58" i="23"/>
  <c r="AN6" i="64" l="1"/>
  <c r="AM4"/>
  <c r="AO6" l="1"/>
  <c r="AN4"/>
  <c r="AP6" l="1"/>
  <c r="AO4"/>
  <c r="AQ6" l="1"/>
  <c r="AP4"/>
  <c r="AR6" l="1"/>
  <c r="AQ4"/>
  <c r="AS6" l="1"/>
  <c r="AR4"/>
  <c r="AT6" l="1"/>
  <c r="AS4"/>
  <c r="AU6" l="1"/>
  <c r="AT4"/>
  <c r="AV6" l="1"/>
  <c r="AU4"/>
  <c r="AW6" l="1"/>
  <c r="AV4"/>
  <c r="AX6" l="1"/>
  <c r="AW4"/>
  <c r="AY6" l="1"/>
  <c r="AY4" s="1"/>
  <c r="AX4"/>
</calcChain>
</file>

<file path=xl/comments1.xml><?xml version="1.0" encoding="utf-8"?>
<comments xmlns="http://schemas.openxmlformats.org/spreadsheetml/2006/main">
  <authors>
    <author>blong</author>
    <author>Rachael Budowle</author>
    <author>kday</author>
  </authors>
  <commentList>
    <comment ref="F3" authorId="0">
      <text>
        <r>
          <rPr>
            <b/>
            <sz val="8"/>
            <color indexed="81"/>
            <rFont val="Tahoma"/>
            <family val="2"/>
          </rPr>
          <t>blong:</t>
        </r>
        <r>
          <rPr>
            <sz val="8"/>
            <color indexed="81"/>
            <rFont val="Tahoma"/>
            <family val="2"/>
          </rPr>
          <t xml:space="preserve">
No non-route information available for 2011. Apartment R&amp;R can be found within hauler information</t>
        </r>
      </text>
    </comment>
    <comment ref="H3" authorId="1">
      <text>
        <r>
          <rPr>
            <b/>
            <sz val="8"/>
            <color indexed="81"/>
            <rFont val="Tahoma"/>
            <family val="2"/>
          </rPr>
          <t>Rachael Budowle:</t>
        </r>
        <r>
          <rPr>
            <sz val="8"/>
            <color indexed="81"/>
            <rFont val="Tahoma"/>
            <family val="2"/>
          </rPr>
          <t xml:space="preserve">
For business, industry, and garages, most material reported to MRSWA, so unable to determine "Blacksburg" rate.</t>
        </r>
      </text>
    </comment>
    <comment ref="N3" authorId="0">
      <text>
        <r>
          <rPr>
            <b/>
            <sz val="8"/>
            <color indexed="81"/>
            <rFont val="Tahoma"/>
            <family val="2"/>
          </rPr>
          <t>blong:</t>
        </r>
        <r>
          <rPr>
            <sz val="8"/>
            <color indexed="81"/>
            <rFont val="Tahoma"/>
            <family val="2"/>
          </rPr>
          <t xml:space="preserve">
Blue Ridge Disposal and Allied Waste - 
No report provided for 2011.
All to MRSWA.</t>
        </r>
      </text>
    </comment>
    <comment ref="P4" authorId="0">
      <text>
        <r>
          <rPr>
            <b/>
            <sz val="8"/>
            <color indexed="81"/>
            <rFont val="Tahoma"/>
            <family val="2"/>
          </rPr>
          <t>blong:</t>
        </r>
        <r>
          <rPr>
            <sz val="8"/>
            <color indexed="81"/>
            <rFont val="Tahoma"/>
            <family val="2"/>
          </rPr>
          <t xml:space="preserve">
Tonnages</t>
        </r>
        <r>
          <rPr>
            <b/>
            <sz val="8"/>
            <color indexed="81"/>
            <rFont val="Tahoma"/>
            <family val="2"/>
          </rPr>
          <t xml:space="preserve"> not</t>
        </r>
        <r>
          <rPr>
            <sz val="8"/>
            <color indexed="81"/>
            <rFont val="Tahoma"/>
            <family val="2"/>
          </rPr>
          <t xml:space="preserve"> included in Material Totals-
(Columns R and S).</t>
        </r>
      </text>
    </comment>
    <comment ref="B6" authorId="2">
      <text>
        <r>
          <rPr>
            <b/>
            <sz val="9"/>
            <color indexed="81"/>
            <rFont val="Tahoma"/>
            <family val="2"/>
          </rPr>
          <t>kday:</t>
        </r>
        <r>
          <rPr>
            <sz val="9"/>
            <color indexed="81"/>
            <rFont val="Tahoma"/>
            <family val="2"/>
          </rPr>
          <t xml:space="preserve">
curbside/roll off/Shred A Thon</t>
        </r>
      </text>
    </comment>
    <comment ref="H6" authorId="0">
      <text>
        <r>
          <rPr>
            <b/>
            <sz val="9"/>
            <color indexed="81"/>
            <rFont val="Tahoma"/>
            <family val="2"/>
          </rPr>
          <t>blong:</t>
        </r>
        <r>
          <rPr>
            <sz val="9"/>
            <color indexed="81"/>
            <rFont val="Tahoma"/>
            <family val="2"/>
          </rPr>
          <t xml:space="preserve">
</t>
        </r>
        <r>
          <rPr>
            <sz val="8"/>
            <color indexed="81"/>
            <rFont val="Tahoma"/>
            <family val="2"/>
          </rPr>
          <t>YMCA - White office paper to MRSWA.</t>
        </r>
      </text>
    </comment>
    <comment ref="I6" authorId="0">
      <text>
        <r>
          <rPr>
            <b/>
            <sz val="9"/>
            <color indexed="81"/>
            <rFont val="Tahoma"/>
            <family val="2"/>
          </rPr>
          <t xml:space="preserve">blong:
</t>
        </r>
        <r>
          <rPr>
            <sz val="8"/>
            <color indexed="81"/>
            <rFont val="Tahoma"/>
            <family val="2"/>
          </rPr>
          <t>Southern Printing -Uncharacteristically did not report for 2011. Used 80% of 2010  tonnages (48 tons).</t>
        </r>
      </text>
    </comment>
    <comment ref="L6" authorId="0">
      <text>
        <r>
          <rPr>
            <b/>
            <sz val="9"/>
            <color indexed="81"/>
            <rFont val="Tahoma"/>
            <family val="2"/>
          </rPr>
          <t>blong:</t>
        </r>
        <r>
          <rPr>
            <sz val="9"/>
            <color indexed="81"/>
            <rFont val="Tahoma"/>
            <family val="2"/>
          </rPr>
          <t xml:space="preserve">
Blacksburg Auto Parts - 1 ton recycled at Gables drop off. DO NOT COUNT - Included in residential paper roll off.
</t>
        </r>
      </text>
    </comment>
    <comment ref="N6" authorId="0">
      <text>
        <r>
          <rPr>
            <b/>
            <sz val="8"/>
            <color indexed="81"/>
            <rFont val="Tahoma"/>
            <family val="2"/>
          </rPr>
          <t xml:space="preserve">blong:
</t>
        </r>
        <r>
          <rPr>
            <b/>
            <sz val="8"/>
            <color indexed="81"/>
            <rFont val="Tahoma"/>
            <family val="2"/>
          </rPr>
          <t>Bob's Refuse and Cintas</t>
        </r>
        <r>
          <rPr>
            <sz val="8"/>
            <color indexed="81"/>
            <rFont val="Tahoma"/>
            <family val="2"/>
          </rPr>
          <t xml:space="preserve">
Cintas - estimated tonnage due to combined route with Christiansburg (65 tons).</t>
        </r>
      </text>
    </comment>
    <comment ref="O6" authorId="0">
      <text>
        <r>
          <rPr>
            <b/>
            <sz val="9"/>
            <color indexed="81"/>
            <rFont val="Tahoma"/>
            <family val="2"/>
          </rPr>
          <t>blong:</t>
        </r>
        <r>
          <rPr>
            <sz val="9"/>
            <color indexed="81"/>
            <rFont val="Tahoma"/>
            <family val="2"/>
          </rPr>
          <t xml:space="preserve">
Southwest Shredding Tazewell, VA</t>
        </r>
      </text>
    </comment>
    <comment ref="P6" authorId="0">
      <text>
        <r>
          <rPr>
            <b/>
            <sz val="9"/>
            <color indexed="81"/>
            <rFont val="Tahoma"/>
            <family val="2"/>
          </rPr>
          <t>blong:</t>
        </r>
        <r>
          <rPr>
            <sz val="9"/>
            <color indexed="81"/>
            <rFont val="Tahoma"/>
            <family val="2"/>
          </rPr>
          <t xml:space="preserve">
.50 ton Magazines/Catalogs.</t>
        </r>
      </text>
    </comment>
    <comment ref="B7" authorId="2">
      <text>
        <r>
          <rPr>
            <b/>
            <sz val="8"/>
            <color indexed="81"/>
            <rFont val="Tahoma"/>
            <family val="2"/>
          </rPr>
          <t>kday
:</t>
        </r>
        <r>
          <rPr>
            <sz val="8"/>
            <color indexed="81"/>
            <rFont val="Tahoma"/>
            <family val="2"/>
          </rPr>
          <t>clean ups  &amp; special pick ups</t>
        </r>
      </text>
    </comment>
    <comment ref="D7" authorId="2">
      <text>
        <r>
          <rPr>
            <b/>
            <sz val="8"/>
            <color indexed="81"/>
            <rFont val="Tahoma"/>
            <family val="2"/>
          </rPr>
          <t>kday:</t>
        </r>
        <r>
          <rPr>
            <sz val="8"/>
            <color indexed="81"/>
            <rFont val="Tahoma"/>
            <family val="2"/>
          </rPr>
          <t xml:space="preserve">
metal hopper</t>
        </r>
      </text>
    </comment>
    <comment ref="E7" authorId="2">
      <text>
        <r>
          <rPr>
            <b/>
            <sz val="8"/>
            <color indexed="81"/>
            <rFont val="Tahoma"/>
            <family val="2"/>
          </rPr>
          <t>kday:</t>
        </r>
        <r>
          <rPr>
            <sz val="8"/>
            <color indexed="81"/>
            <rFont val="Tahoma"/>
            <family val="2"/>
          </rPr>
          <t xml:space="preserve">
oil filter metal 0.22
Recycling 3.76 John B.</t>
        </r>
      </text>
    </comment>
    <comment ref="I7" authorId="0">
      <text>
        <r>
          <rPr>
            <b/>
            <sz val="9"/>
            <color indexed="81"/>
            <rFont val="Tahoma"/>
            <family val="2"/>
          </rPr>
          <t>blong:</t>
        </r>
        <r>
          <rPr>
            <sz val="9"/>
            <color indexed="81"/>
            <rFont val="Tahoma"/>
            <family val="2"/>
          </rPr>
          <t xml:space="preserve">
</t>
        </r>
        <r>
          <rPr>
            <sz val="8"/>
            <color indexed="81"/>
            <rFont val="Tahoma"/>
            <family val="2"/>
          </rPr>
          <t>YMCA - Metal to New River Recycling.
Southern Printing - Uncharacteristically did not report for 2011. Used 80% of 2010  tonnages (.4 tons).</t>
        </r>
      </text>
    </comment>
    <comment ref="K7" authorId="0">
      <text>
        <r>
          <rPr>
            <b/>
            <sz val="9"/>
            <color indexed="81"/>
            <rFont val="Tahoma"/>
            <family val="2"/>
          </rPr>
          <t>blong:</t>
        </r>
        <r>
          <rPr>
            <sz val="9"/>
            <color indexed="81"/>
            <rFont val="Tahoma"/>
            <family val="2"/>
          </rPr>
          <t xml:space="preserve">
Includes oil filter ferrous metal.
MOOG Inc. = .042 tons empty drums</t>
        </r>
      </text>
    </comment>
    <comment ref="M7" authorId="0">
      <text>
        <r>
          <rPr>
            <b/>
            <sz val="8"/>
            <color indexed="81"/>
            <rFont val="Tahoma"/>
            <family val="2"/>
          </rPr>
          <t>blong:</t>
        </r>
        <r>
          <rPr>
            <sz val="8"/>
            <color indexed="81"/>
            <rFont val="Tahoma"/>
            <family val="2"/>
          </rPr>
          <t xml:space="preserve">
Includes oil filter ferrous metal
</t>
        </r>
      </text>
    </comment>
    <comment ref="S7" authorId="0">
      <text>
        <r>
          <rPr>
            <b/>
            <sz val="8"/>
            <color indexed="81"/>
            <rFont val="Tahoma"/>
            <family val="2"/>
          </rPr>
          <t>blong:</t>
        </r>
        <r>
          <rPr>
            <sz val="8"/>
            <color indexed="81"/>
            <rFont val="Tahoma"/>
            <family val="2"/>
          </rPr>
          <t xml:space="preserve">
Includes oil filter ferrous metal</t>
        </r>
      </text>
    </comment>
    <comment ref="D10" authorId="2">
      <text>
        <r>
          <rPr>
            <b/>
            <sz val="9"/>
            <color indexed="81"/>
            <rFont val="Tahoma"/>
            <family val="2"/>
          </rPr>
          <t>kday:</t>
        </r>
        <r>
          <rPr>
            <sz val="9"/>
            <color indexed="81"/>
            <rFont val="Tahoma"/>
            <family val="2"/>
          </rPr>
          <t xml:space="preserve">
est. carts using audit info</t>
        </r>
      </text>
    </comment>
    <comment ref="M10" authorId="0">
      <text>
        <r>
          <rPr>
            <b/>
            <sz val="9"/>
            <color indexed="81"/>
            <rFont val="Tahoma"/>
            <family val="2"/>
          </rPr>
          <t>blong:</t>
        </r>
        <r>
          <rPr>
            <sz val="9"/>
            <color indexed="81"/>
            <rFont val="Tahoma"/>
            <family val="2"/>
          </rPr>
          <t xml:space="preserve">
South Main Auto Service.</t>
        </r>
      </text>
    </comment>
    <comment ref="N10" authorId="0">
      <text>
        <r>
          <rPr>
            <b/>
            <sz val="8"/>
            <color indexed="81"/>
            <rFont val="Tahoma"/>
            <family val="2"/>
          </rPr>
          <t>blong:</t>
        </r>
        <r>
          <rPr>
            <sz val="8"/>
            <color indexed="81"/>
            <rFont val="Tahoma"/>
            <family val="2"/>
          </rPr>
          <t xml:space="preserve">
Bob's Refuse</t>
        </r>
      </text>
    </comment>
    <comment ref="C11" authorId="2">
      <text>
        <r>
          <rPr>
            <b/>
            <sz val="8"/>
            <color indexed="81"/>
            <rFont val="Tahoma"/>
            <family val="2"/>
          </rPr>
          <t>kday:</t>
        </r>
        <r>
          <rPr>
            <sz val="8"/>
            <color indexed="81"/>
            <rFont val="Tahoma"/>
            <family val="2"/>
          </rPr>
          <t xml:space="preserve">
leaves</t>
        </r>
      </text>
    </comment>
    <comment ref="C12" authorId="2">
      <text>
        <r>
          <rPr>
            <b/>
            <sz val="8"/>
            <color indexed="81"/>
            <rFont val="Tahoma"/>
            <family val="2"/>
          </rPr>
          <t>kday:</t>
        </r>
        <r>
          <rPr>
            <sz val="8"/>
            <color indexed="81"/>
            <rFont val="Tahoma"/>
            <family val="2"/>
          </rPr>
          <t xml:space="preserve">
brush</t>
        </r>
      </text>
    </comment>
    <comment ref="I13" authorId="0">
      <text>
        <r>
          <rPr>
            <b/>
            <sz val="8"/>
            <color indexed="81"/>
            <rFont val="Tahoma"/>
            <family val="2"/>
          </rPr>
          <t>blong:</t>
        </r>
        <r>
          <rPr>
            <sz val="8"/>
            <color indexed="81"/>
            <rFont val="Tahoma"/>
            <family val="2"/>
          </rPr>
          <t xml:space="preserve">
YMCA- </t>
        </r>
        <r>
          <rPr>
            <b/>
            <sz val="8"/>
            <color indexed="81"/>
            <rFont val="Tahoma"/>
            <family val="2"/>
          </rPr>
          <t>Clothing, etc.</t>
        </r>
        <r>
          <rPr>
            <sz val="8"/>
            <color indexed="81"/>
            <rFont val="Tahoma"/>
            <family val="2"/>
          </rPr>
          <t xml:space="preserve">
101.36 tons total recycled
900 tons reused - See Reused SRM below (row 33)</t>
        </r>
      </text>
    </comment>
    <comment ref="D14" authorId="2">
      <text>
        <r>
          <rPr>
            <b/>
            <sz val="9"/>
            <color indexed="81"/>
            <rFont val="Tahoma"/>
            <family val="2"/>
          </rPr>
          <t>kday:</t>
        </r>
        <r>
          <rPr>
            <sz val="9"/>
            <color indexed="81"/>
            <rFont val="Tahoma"/>
            <family val="2"/>
          </rPr>
          <t xml:space="preserve">
facility  dumpster and carts est for cardboard</t>
        </r>
      </text>
    </comment>
    <comment ref="E15" authorId="0">
      <text>
        <r>
          <rPr>
            <b/>
            <sz val="8"/>
            <color indexed="81"/>
            <rFont val="Tahoma"/>
            <family val="2"/>
          </rPr>
          <t>kday:</t>
        </r>
        <r>
          <rPr>
            <sz val="8"/>
            <color indexed="81"/>
            <rFont val="Tahoma"/>
            <family val="2"/>
          </rPr>
          <t xml:space="preserve">
compost food waste only</t>
        </r>
      </text>
    </comment>
    <comment ref="I15" authorId="0">
      <text>
        <r>
          <rPr>
            <b/>
            <sz val="9"/>
            <color indexed="81"/>
            <rFont val="Tahoma"/>
            <family val="2"/>
          </rPr>
          <t>blong:</t>
        </r>
        <r>
          <rPr>
            <sz val="9"/>
            <color indexed="81"/>
            <rFont val="Tahoma"/>
            <family val="2"/>
          </rPr>
          <t xml:space="preserve">
Food Lion (both stores) = 5.30 tons plastic shopping bags.
Kroger (both stores) = 13.26 tons plastic shopping bags and pallet wrap.</t>
        </r>
      </text>
    </comment>
    <comment ref="K15" authorId="0">
      <text>
        <r>
          <rPr>
            <b/>
            <sz val="8"/>
            <color indexed="81"/>
            <rFont val="Tahoma"/>
            <family val="2"/>
          </rPr>
          <t xml:space="preserve">blong:
United Pet Group (Tetra)
</t>
        </r>
        <r>
          <rPr>
            <sz val="8"/>
            <color indexed="81"/>
            <rFont val="Tahoma"/>
            <family val="2"/>
          </rPr>
          <t>1.82 ton - line cord
12.97 ton - floss</t>
        </r>
      </text>
    </comment>
    <comment ref="K16" authorId="0">
      <text>
        <r>
          <rPr>
            <b/>
            <sz val="8"/>
            <color indexed="81"/>
            <rFont val="Tahoma"/>
            <family val="2"/>
          </rPr>
          <t>blong:</t>
        </r>
        <r>
          <rPr>
            <sz val="8"/>
            <color indexed="81"/>
            <rFont val="Tahoma"/>
            <family val="2"/>
          </rPr>
          <t xml:space="preserve">
Luna Innovations</t>
        </r>
      </text>
    </comment>
    <comment ref="P16" authorId="0">
      <text>
        <r>
          <rPr>
            <b/>
            <sz val="9"/>
            <color indexed="81"/>
            <rFont val="Tahoma"/>
            <family val="2"/>
          </rPr>
          <t>blong:</t>
        </r>
        <r>
          <rPr>
            <sz val="9"/>
            <color indexed="81"/>
            <rFont val="Tahoma"/>
            <family val="2"/>
          </rPr>
          <t xml:space="preserve">
25.7 = Single Stream roll off (2)
16.08 = Single Stream combined route collection (includes single single stream tonnages from Christiansburg and Montgomery County - cannot determine individual Blacksburg rate)</t>
        </r>
      </text>
    </comment>
    <comment ref="B20" authorId="2">
      <text>
        <r>
          <rPr>
            <b/>
            <sz val="9"/>
            <color indexed="81"/>
            <rFont val="Tahoma"/>
            <family val="2"/>
          </rPr>
          <t>kday:</t>
        </r>
        <r>
          <rPr>
            <sz val="9"/>
            <color indexed="81"/>
            <rFont val="Tahoma"/>
            <family val="2"/>
          </rPr>
          <t xml:space="preserve">
clean up
</t>
        </r>
      </text>
    </comment>
    <comment ref="E20" authorId="2">
      <text>
        <r>
          <rPr>
            <b/>
            <sz val="9"/>
            <color indexed="81"/>
            <rFont val="Tahoma"/>
            <family val="2"/>
          </rPr>
          <t>kday:</t>
        </r>
        <r>
          <rPr>
            <sz val="9"/>
            <color indexed="81"/>
            <rFont val="Tahoma"/>
            <family val="2"/>
          </rPr>
          <t xml:space="preserve">
King Tire- Pulaski</t>
        </r>
      </text>
    </comment>
    <comment ref="M20" authorId="0">
      <text>
        <r>
          <rPr>
            <b/>
            <sz val="9"/>
            <color indexed="81"/>
            <rFont val="Tahoma"/>
            <family val="2"/>
          </rPr>
          <t>blong:</t>
        </r>
        <r>
          <rPr>
            <sz val="9"/>
            <color indexed="81"/>
            <rFont val="Tahoma"/>
            <family val="2"/>
          </rPr>
          <t xml:space="preserve">
Used "small" tires when determining tonnages if sizes were not indicated in reporting form. </t>
        </r>
      </text>
    </comment>
    <comment ref="P20" authorId="0">
      <text>
        <r>
          <rPr>
            <b/>
            <sz val="8"/>
            <color indexed="81"/>
            <rFont val="Tahoma"/>
            <family val="2"/>
          </rPr>
          <t>blong:</t>
        </r>
        <r>
          <rPr>
            <sz val="8"/>
            <color indexed="81"/>
            <rFont val="Tahoma"/>
            <family val="2"/>
          </rPr>
          <t xml:space="preserve">
5 large
5 medium
5 small</t>
        </r>
      </text>
    </comment>
    <comment ref="E21" authorId="0">
      <text>
        <r>
          <rPr>
            <b/>
            <sz val="8"/>
            <color indexed="81"/>
            <rFont val="Tahoma"/>
            <family val="2"/>
          </rPr>
          <t>kday: used oil, oil filter used oil</t>
        </r>
        <r>
          <rPr>
            <sz val="8"/>
            <color indexed="81"/>
            <rFont val="Tahoma"/>
            <family val="2"/>
          </rPr>
          <t xml:space="preserve">
</t>
        </r>
      </text>
    </comment>
    <comment ref="K21" authorId="0">
      <text>
        <r>
          <rPr>
            <b/>
            <sz val="9"/>
            <color indexed="81"/>
            <rFont val="Tahoma"/>
            <family val="2"/>
          </rPr>
          <t>blong:</t>
        </r>
        <r>
          <rPr>
            <sz val="9"/>
            <color indexed="81"/>
            <rFont val="Tahoma"/>
            <family val="2"/>
          </rPr>
          <t xml:space="preserve">
Includes oil from oil filters.</t>
        </r>
      </text>
    </comment>
    <comment ref="M21" authorId="0">
      <text>
        <r>
          <rPr>
            <b/>
            <sz val="8"/>
            <color indexed="81"/>
            <rFont val="Tahoma"/>
            <family val="2"/>
          </rPr>
          <t>blong:</t>
        </r>
        <r>
          <rPr>
            <sz val="8"/>
            <color indexed="81"/>
            <rFont val="Tahoma"/>
            <family val="2"/>
          </rPr>
          <t xml:space="preserve">
Includes oil from oil filters</t>
        </r>
      </text>
    </comment>
    <comment ref="S21" authorId="0">
      <text>
        <r>
          <rPr>
            <b/>
            <sz val="8"/>
            <color indexed="81"/>
            <rFont val="Tahoma"/>
            <family val="2"/>
          </rPr>
          <t>blong:</t>
        </r>
        <r>
          <rPr>
            <sz val="8"/>
            <color indexed="81"/>
            <rFont val="Tahoma"/>
            <family val="2"/>
          </rPr>
          <t xml:space="preserve">
Includes oil from oil filters</t>
        </r>
      </text>
    </comment>
    <comment ref="K22" authorId="0">
      <text>
        <r>
          <rPr>
            <b/>
            <sz val="9"/>
            <color indexed="81"/>
            <rFont val="Tahoma"/>
            <family val="2"/>
          </rPr>
          <t>blong:</t>
        </r>
        <r>
          <rPr>
            <sz val="9"/>
            <color indexed="81"/>
            <rFont val="Tahoma"/>
            <family val="2"/>
          </rPr>
          <t xml:space="preserve">
Oil filters were divided into used oil (from inside filters)- Line 19, and ferrous metal (oil filter material)- Line 5</t>
        </r>
      </text>
    </comment>
    <comment ref="M22" authorId="0">
      <text>
        <r>
          <rPr>
            <b/>
            <sz val="8"/>
            <color indexed="81"/>
            <rFont val="Tahoma"/>
            <family val="2"/>
          </rPr>
          <t>blong:</t>
        </r>
        <r>
          <rPr>
            <sz val="8"/>
            <color indexed="81"/>
            <rFont val="Tahoma"/>
            <family val="2"/>
          </rPr>
          <t xml:space="preserve">
Oil filters were divided into used oil (from inside filters)- Line 19, and ferrous metal (oil filter material)- Line 5</t>
        </r>
      </text>
    </comment>
    <comment ref="S22" authorId="0">
      <text>
        <r>
          <rPr>
            <b/>
            <sz val="8"/>
            <color indexed="81"/>
            <rFont val="Tahoma"/>
            <family val="2"/>
          </rPr>
          <t>blong:
DO NOT COUNT</t>
        </r>
        <r>
          <rPr>
            <sz val="8"/>
            <color indexed="81"/>
            <rFont val="Tahoma"/>
            <family val="2"/>
          </rPr>
          <t xml:space="preserve">
2 tons of crushed oil filters were divided into used oil (from inside filters)- Line 19, and ferrous metal (oil filter material)- Line 5</t>
        </r>
      </text>
    </comment>
    <comment ref="P27" authorId="0">
      <text>
        <r>
          <rPr>
            <b/>
            <sz val="9"/>
            <color indexed="81"/>
            <rFont val="Tahoma"/>
            <family val="2"/>
          </rPr>
          <t>blong:</t>
        </r>
        <r>
          <rPr>
            <sz val="9"/>
            <color indexed="81"/>
            <rFont val="Tahoma"/>
            <family val="2"/>
          </rPr>
          <t xml:space="preserve">
6 Batteries @ 35.9lbs each per VA DEQ</t>
        </r>
      </text>
    </comment>
    <comment ref="B29" authorId="2">
      <text>
        <r>
          <rPr>
            <b/>
            <sz val="9"/>
            <color indexed="81"/>
            <rFont val="Tahoma"/>
            <family val="2"/>
          </rPr>
          <t>kday:</t>
        </r>
        <r>
          <rPr>
            <sz val="9"/>
            <color indexed="81"/>
            <rFont val="Tahoma"/>
            <family val="2"/>
          </rPr>
          <t xml:space="preserve">
from YMCA
</t>
        </r>
      </text>
    </comment>
    <comment ref="I29" authorId="0">
      <text>
        <r>
          <rPr>
            <b/>
            <sz val="9"/>
            <color indexed="81"/>
            <rFont val="Tahoma"/>
            <family val="2"/>
          </rPr>
          <t>blong:</t>
        </r>
        <r>
          <rPr>
            <sz val="9"/>
            <color indexed="81"/>
            <rFont val="Tahoma"/>
            <family val="2"/>
          </rPr>
          <t xml:space="preserve">
Radio Shack = 100lbs</t>
        </r>
      </text>
    </comment>
    <comment ref="B30" authorId="2">
      <text>
        <r>
          <rPr>
            <b/>
            <sz val="9"/>
            <color indexed="81"/>
            <rFont val="Tahoma"/>
            <family val="2"/>
          </rPr>
          <t>kday:</t>
        </r>
        <r>
          <rPr>
            <sz val="9"/>
            <color indexed="81"/>
            <rFont val="Tahoma"/>
            <family val="2"/>
          </rPr>
          <t xml:space="preserve">
from YMCA</t>
        </r>
      </text>
    </comment>
    <comment ref="K30" authorId="0">
      <text>
        <r>
          <rPr>
            <b/>
            <sz val="8"/>
            <color indexed="81"/>
            <rFont val="Tahoma"/>
            <family val="2"/>
          </rPr>
          <t>blong:</t>
        </r>
        <r>
          <rPr>
            <sz val="8"/>
            <color indexed="81"/>
            <rFont val="Tahoma"/>
            <family val="2"/>
          </rPr>
          <t xml:space="preserve">
Circuit Boards and Electronics</t>
        </r>
      </text>
    </comment>
    <comment ref="I32" authorId="0">
      <text>
        <r>
          <rPr>
            <b/>
            <sz val="8"/>
            <color indexed="81"/>
            <rFont val="Tahoma"/>
            <family val="2"/>
          </rPr>
          <t xml:space="preserve">blong:
DO NOT COUNT
</t>
        </r>
        <r>
          <rPr>
            <sz val="8"/>
            <color indexed="81"/>
            <rFont val="Tahoma"/>
            <family val="2"/>
          </rPr>
          <t>These totals should be i</t>
        </r>
        <r>
          <rPr>
            <sz val="8"/>
            <color indexed="81"/>
            <rFont val="Tahoma"/>
            <family val="2"/>
          </rPr>
          <t>ncluded in Valley Protein's route numbers. (Column O, Row 30)</t>
        </r>
      </text>
    </comment>
    <comment ref="K32" authorId="0">
      <text>
        <r>
          <rPr>
            <b/>
            <sz val="9"/>
            <color indexed="81"/>
            <rFont val="Tahoma"/>
            <family val="2"/>
          </rPr>
          <t>blong:</t>
        </r>
        <r>
          <rPr>
            <sz val="9"/>
            <color indexed="81"/>
            <rFont val="Tahoma"/>
            <family val="2"/>
          </rPr>
          <t xml:space="preserve">
</t>
        </r>
        <r>
          <rPr>
            <b/>
            <sz val="9"/>
            <color indexed="81"/>
            <rFont val="Tahoma"/>
            <family val="2"/>
          </rPr>
          <t>DO NOT COUNT</t>
        </r>
        <r>
          <rPr>
            <sz val="9"/>
            <color indexed="81"/>
            <rFont val="Tahoma"/>
            <family val="2"/>
          </rPr>
          <t xml:space="preserve">
These totals should be included in Valley Protein's and Enterprise Rendering Company route numbers. (Column O, Row 30)
</t>
        </r>
      </text>
    </comment>
    <comment ref="O32" authorId="0">
      <text>
        <r>
          <rPr>
            <b/>
            <sz val="8"/>
            <color indexed="81"/>
            <rFont val="Tahoma"/>
            <family val="2"/>
          </rPr>
          <t>blong:</t>
        </r>
        <r>
          <rPr>
            <sz val="8"/>
            <color indexed="81"/>
            <rFont val="Tahoma"/>
            <family val="2"/>
          </rPr>
          <t xml:space="preserve">
Valley Protein and Enterprise Rendering Company grease route totals. *Includes fat.
</t>
        </r>
      </text>
    </comment>
    <comment ref="D33" authorId="2">
      <text>
        <r>
          <rPr>
            <b/>
            <sz val="9"/>
            <color indexed="81"/>
            <rFont val="Tahoma"/>
            <family val="2"/>
          </rPr>
          <t>kday:</t>
        </r>
        <r>
          <rPr>
            <sz val="9"/>
            <color indexed="81"/>
            <rFont val="Tahoma"/>
            <family val="2"/>
          </rPr>
          <t xml:space="preserve">
PD radio &amp; MISC</t>
        </r>
      </text>
    </comment>
    <comment ref="E33" authorId="2">
      <text>
        <r>
          <rPr>
            <b/>
            <sz val="8"/>
            <color indexed="81"/>
            <rFont val="Tahoma"/>
            <family val="2"/>
          </rPr>
          <t>kday:</t>
        </r>
        <r>
          <rPr>
            <sz val="8"/>
            <color indexed="81"/>
            <rFont val="Tahoma"/>
            <family val="2"/>
          </rPr>
          <t xml:space="preserve">
cartridges
 ballasts, capacitors, PD radios, mercury
</t>
        </r>
      </text>
    </comment>
    <comment ref="I33" authorId="0">
      <text>
        <r>
          <rPr>
            <b/>
            <sz val="8"/>
            <color indexed="81"/>
            <rFont val="Tahoma"/>
            <family val="2"/>
          </rPr>
          <t>blong:</t>
        </r>
        <r>
          <rPr>
            <sz val="8"/>
            <color indexed="81"/>
            <rFont val="Tahoma"/>
            <family val="2"/>
          </rPr>
          <t xml:space="preserve">
nonhazardous solids
</t>
        </r>
      </text>
    </comment>
    <comment ref="K33" authorId="0">
      <text>
        <r>
          <rPr>
            <b/>
            <sz val="8"/>
            <color indexed="81"/>
            <rFont val="Tahoma"/>
            <family val="2"/>
          </rPr>
          <t>blong:</t>
        </r>
        <r>
          <rPr>
            <sz val="8"/>
            <color indexed="81"/>
            <rFont val="Tahoma"/>
            <family val="2"/>
          </rPr>
          <t xml:space="preserve">
</t>
        </r>
        <r>
          <rPr>
            <b/>
            <sz val="8"/>
            <color indexed="81"/>
            <rFont val="Tahoma"/>
            <family val="2"/>
          </rPr>
          <t xml:space="preserve">Federal Mogul - </t>
        </r>
        <r>
          <rPr>
            <sz val="8"/>
            <color indexed="81"/>
            <rFont val="Tahoma"/>
            <family val="2"/>
          </rPr>
          <t>.73 Tons Parts Washer</t>
        </r>
      </text>
    </comment>
    <comment ref="O33" authorId="0">
      <text>
        <r>
          <rPr>
            <b/>
            <sz val="8"/>
            <color indexed="81"/>
            <rFont val="Tahoma"/>
            <family val="2"/>
          </rPr>
          <t>blong:</t>
        </r>
        <r>
          <rPr>
            <sz val="8"/>
            <color indexed="81"/>
            <rFont val="Tahoma"/>
            <family val="2"/>
          </rPr>
          <t xml:space="preserve">
Valley Protein-
bones</t>
        </r>
      </text>
    </comment>
    <comment ref="I35" authorId="0">
      <text>
        <r>
          <rPr>
            <b/>
            <sz val="8"/>
            <color indexed="81"/>
            <rFont val="Tahoma"/>
            <family val="2"/>
          </rPr>
          <t>blong:</t>
        </r>
        <r>
          <rPr>
            <sz val="8"/>
            <color indexed="81"/>
            <rFont val="Tahoma"/>
            <family val="2"/>
          </rPr>
          <t xml:space="preserve">
Buffalo Wild Wings - 7.69 reused cooking oil
YMCA - 900 Tons reused textiles, 200 Tons reused furniture.
</t>
        </r>
      </text>
    </comment>
    <comment ref="J39" authorId="0">
      <text>
        <r>
          <rPr>
            <b/>
            <sz val="9"/>
            <color indexed="81"/>
            <rFont val="Tahoma"/>
            <family val="2"/>
          </rPr>
          <t>blong:</t>
        </r>
        <r>
          <rPr>
            <sz val="9"/>
            <color indexed="81"/>
            <rFont val="Tahoma"/>
            <family val="2"/>
          </rPr>
          <t xml:space="preserve">
Blacksburg Middle School demolition. Asbestos and construction material disposal from Sayers Construction.</t>
        </r>
      </text>
    </comment>
    <comment ref="K39" authorId="0">
      <text>
        <r>
          <rPr>
            <b/>
            <sz val="9"/>
            <color indexed="81"/>
            <rFont val="Tahoma"/>
            <family val="2"/>
          </rPr>
          <t>blong:</t>
        </r>
        <r>
          <rPr>
            <sz val="9"/>
            <color indexed="81"/>
            <rFont val="Tahoma"/>
            <family val="2"/>
          </rPr>
          <t xml:space="preserve">
Blacksburg Middle School demolition. Metal recycling from Sayers Construction to New River Recycling.</t>
        </r>
      </text>
    </comment>
    <comment ref="J42" authorId="0">
      <text>
        <r>
          <rPr>
            <b/>
            <sz val="9"/>
            <color indexed="81"/>
            <rFont val="Tahoma"/>
            <family val="2"/>
          </rPr>
          <t>blong:</t>
        </r>
        <r>
          <rPr>
            <sz val="9"/>
            <color indexed="81"/>
            <rFont val="Tahoma"/>
            <family val="2"/>
          </rPr>
          <t xml:space="preserve">
Denotes units, not tonnage. Cannot be used for DEQ Report.</t>
        </r>
      </text>
    </comment>
    <comment ref="E43" authorId="1">
      <text>
        <r>
          <rPr>
            <b/>
            <sz val="8"/>
            <color indexed="81"/>
            <rFont val="Tahoma"/>
            <family val="2"/>
          </rPr>
          <t>Karen Day:</t>
        </r>
        <r>
          <rPr>
            <sz val="8"/>
            <color indexed="81"/>
            <rFont val="Tahoma"/>
            <family val="2"/>
          </rPr>
          <t xml:space="preserve">
 reused milled asphalt </t>
        </r>
      </text>
    </comment>
    <comment ref="O43" authorId="0">
      <text>
        <r>
          <rPr>
            <b/>
            <sz val="8"/>
            <color indexed="81"/>
            <rFont val="Tahoma"/>
            <family val="2"/>
          </rPr>
          <t>blong:</t>
        </r>
        <r>
          <rPr>
            <sz val="8"/>
            <color indexed="81"/>
            <rFont val="Tahoma"/>
            <family val="2"/>
          </rPr>
          <t xml:space="preserve">
PME compost collection.
Minus .03 for Town Employee Picnic indicated under facility data (Column E, Row 13).</t>
        </r>
      </text>
    </comment>
    <comment ref="S43" authorId="0">
      <text>
        <r>
          <rPr>
            <b/>
            <sz val="8"/>
            <color indexed="81"/>
            <rFont val="Tahoma"/>
            <family val="2"/>
          </rPr>
          <t>blong:</t>
        </r>
        <r>
          <rPr>
            <sz val="8"/>
            <color indexed="81"/>
            <rFont val="Tahoma"/>
            <family val="2"/>
          </rPr>
          <t xml:space="preserve">
PME compost collection</t>
        </r>
      </text>
    </comment>
    <comment ref="B51" authorId="0">
      <text>
        <r>
          <rPr>
            <b/>
            <sz val="8"/>
            <color indexed="81"/>
            <rFont val="Tahoma"/>
            <family val="2"/>
          </rPr>
          <t>kday:</t>
        </r>
        <r>
          <rPr>
            <sz val="8"/>
            <color indexed="81"/>
            <rFont val="Tahoma"/>
            <family val="2"/>
          </rPr>
          <t xml:space="preserve">
curbside, special pickup, cleanup</t>
        </r>
      </text>
    </comment>
    <comment ref="H52" authorId="1">
      <text>
        <r>
          <rPr>
            <b/>
            <sz val="8"/>
            <color indexed="81"/>
            <rFont val="Tahoma"/>
            <family val="2"/>
          </rPr>
          <t>blong:</t>
        </r>
        <r>
          <rPr>
            <sz val="8"/>
            <color indexed="81"/>
            <rFont val="Tahoma"/>
            <family val="2"/>
          </rPr>
          <t xml:space="preserve">
Reported only; should not be double counted with numbers from scale house. </t>
        </r>
      </text>
    </comment>
    <comment ref="J52" authorId="0">
      <text>
        <r>
          <rPr>
            <b/>
            <sz val="9"/>
            <color indexed="81"/>
            <rFont val="Tahoma"/>
            <family val="2"/>
          </rPr>
          <t>blong:</t>
        </r>
        <r>
          <rPr>
            <sz val="9"/>
            <color indexed="81"/>
            <rFont val="Tahoma"/>
            <family val="2"/>
          </rPr>
          <t xml:space="preserve">
</t>
        </r>
        <r>
          <rPr>
            <sz val="8"/>
            <color indexed="81"/>
            <rFont val="Tahoma"/>
            <family val="2"/>
          </rPr>
          <t>Reported only; should not be double counted with numbers from scale house.</t>
        </r>
      </text>
    </comment>
    <comment ref="L52" authorId="0">
      <text>
        <r>
          <rPr>
            <b/>
            <sz val="8"/>
            <color indexed="81"/>
            <rFont val="Tahoma"/>
            <family val="2"/>
          </rPr>
          <t>Rachael Budowle:</t>
        </r>
        <r>
          <rPr>
            <sz val="8"/>
            <color indexed="81"/>
            <rFont val="Tahoma"/>
            <family val="2"/>
          </rPr>
          <t xml:space="preserve">
Reported only; should not be double counted with numbers from scale house. </t>
        </r>
      </text>
    </comment>
    <comment ref="P52" authorId="0">
      <text>
        <r>
          <rPr>
            <b/>
            <sz val="8"/>
            <color indexed="81"/>
            <rFont val="Tahoma"/>
            <family val="2"/>
          </rPr>
          <t xml:space="preserve">blong:
</t>
        </r>
        <r>
          <rPr>
            <sz val="8"/>
            <color indexed="81"/>
            <rFont val="Tahoma"/>
            <family val="2"/>
          </rPr>
          <t>1020 tons - Commercial</t>
        </r>
      </text>
    </comment>
    <comment ref="D53" authorId="2">
      <text>
        <r>
          <rPr>
            <b/>
            <sz val="9"/>
            <color indexed="81"/>
            <rFont val="Tahoma"/>
            <family val="2"/>
          </rPr>
          <t>kday:</t>
        </r>
        <r>
          <rPr>
            <sz val="9"/>
            <color indexed="81"/>
            <rFont val="Tahoma"/>
            <family val="2"/>
          </rPr>
          <t xml:space="preserve">
PW Roll Off</t>
        </r>
      </text>
    </comment>
    <comment ref="J53" authorId="0">
      <text>
        <r>
          <rPr>
            <b/>
            <sz val="9"/>
            <color indexed="81"/>
            <rFont val="Tahoma"/>
            <family val="2"/>
          </rPr>
          <t>blong:</t>
        </r>
        <r>
          <rPr>
            <sz val="9"/>
            <color indexed="81"/>
            <rFont val="Tahoma"/>
            <family val="2"/>
          </rPr>
          <t xml:space="preserve">
</t>
        </r>
        <r>
          <rPr>
            <b/>
            <sz val="9"/>
            <color indexed="81"/>
            <rFont val="Tahoma"/>
            <family val="2"/>
          </rPr>
          <t>Montgomery Regional Hospital</t>
        </r>
        <r>
          <rPr>
            <sz val="9"/>
            <color indexed="81"/>
            <rFont val="Tahoma"/>
            <family val="2"/>
          </rPr>
          <t xml:space="preserve">
Reported only; should not be double counted with numbers from scale house.</t>
        </r>
      </text>
    </comment>
    <comment ref="D54" authorId="2">
      <text>
        <r>
          <rPr>
            <b/>
            <sz val="9"/>
            <color indexed="81"/>
            <rFont val="Tahoma"/>
            <family val="2"/>
          </rPr>
          <t>kday:</t>
        </r>
        <r>
          <rPr>
            <sz val="9"/>
            <color indexed="81"/>
            <rFont val="Tahoma"/>
            <family val="2"/>
          </rPr>
          <t xml:space="preserve">
Street Sweeper</t>
        </r>
      </text>
    </comment>
    <comment ref="N54" authorId="0">
      <text>
        <r>
          <rPr>
            <b/>
            <sz val="8"/>
            <color indexed="81"/>
            <rFont val="Tahoma"/>
            <family val="2"/>
          </rPr>
          <t>blong:</t>
        </r>
        <r>
          <rPr>
            <sz val="8"/>
            <color indexed="81"/>
            <rFont val="Tahoma"/>
            <family val="2"/>
          </rPr>
          <t xml:space="preserve">
Total Refuse Collected:
Bob's Refuse
</t>
        </r>
        <r>
          <rPr>
            <b/>
            <sz val="8"/>
            <color indexed="81"/>
            <rFont val="Tahoma"/>
            <family val="2"/>
          </rPr>
          <t>Rachael Budowle:</t>
        </r>
        <r>
          <rPr>
            <sz val="8"/>
            <color indexed="81"/>
            <rFont val="Tahoma"/>
            <family val="2"/>
          </rPr>
          <t xml:space="preserve">
Reported only; should not be double counted with numbers from scale house. </t>
        </r>
      </text>
    </comment>
  </commentList>
</comments>
</file>

<file path=xl/comments2.xml><?xml version="1.0" encoding="utf-8"?>
<comments xmlns="http://schemas.openxmlformats.org/spreadsheetml/2006/main">
  <authors>
    <author>blong</author>
    <author>Rachael Budowle</author>
    <author>kday</author>
  </authors>
  <commentList>
    <comment ref="F3" authorId="0">
      <text>
        <r>
          <rPr>
            <b/>
            <sz val="8"/>
            <color indexed="81"/>
            <rFont val="Tahoma"/>
            <family val="2"/>
          </rPr>
          <t>blong:</t>
        </r>
        <r>
          <rPr>
            <sz val="8"/>
            <color indexed="81"/>
            <rFont val="Tahoma"/>
            <family val="2"/>
          </rPr>
          <t xml:space="preserve">
No non-route information available for 2010. Apartment R&amp;R can be found within business information</t>
        </r>
      </text>
    </comment>
    <comment ref="H3" authorId="1">
      <text>
        <r>
          <rPr>
            <b/>
            <sz val="8"/>
            <color indexed="81"/>
            <rFont val="Tahoma"/>
            <family val="2"/>
          </rPr>
          <t>Rachael Budowle:</t>
        </r>
        <r>
          <rPr>
            <sz val="8"/>
            <color indexed="81"/>
            <rFont val="Tahoma"/>
            <family val="2"/>
          </rPr>
          <t xml:space="preserve">
For business, industry, and garages, most material reported to MRSWA, so unable to determine "Blacksburg" rate.</t>
        </r>
      </text>
    </comment>
    <comment ref="N3" authorId="0">
      <text>
        <r>
          <rPr>
            <b/>
            <sz val="8"/>
            <color indexed="81"/>
            <rFont val="Tahoma"/>
            <family val="2"/>
          </rPr>
          <t>blong:</t>
        </r>
        <r>
          <rPr>
            <sz val="8"/>
            <color indexed="81"/>
            <rFont val="Tahoma"/>
            <family val="2"/>
          </rPr>
          <t xml:space="preserve">
Blue Ridge Disposal
No report provided for 2010.
All to MRSWA.</t>
        </r>
      </text>
    </comment>
    <comment ref="P4" authorId="0">
      <text>
        <r>
          <rPr>
            <b/>
            <sz val="8"/>
            <color indexed="81"/>
            <rFont val="Tahoma"/>
            <family val="2"/>
          </rPr>
          <t>blong:</t>
        </r>
        <r>
          <rPr>
            <sz val="8"/>
            <color indexed="81"/>
            <rFont val="Tahoma"/>
            <family val="2"/>
          </rPr>
          <t xml:space="preserve">
Tonnages</t>
        </r>
        <r>
          <rPr>
            <b/>
            <sz val="8"/>
            <color indexed="81"/>
            <rFont val="Tahoma"/>
            <family val="2"/>
          </rPr>
          <t xml:space="preserve"> not</t>
        </r>
        <r>
          <rPr>
            <sz val="8"/>
            <color indexed="81"/>
            <rFont val="Tahoma"/>
            <family val="2"/>
          </rPr>
          <t xml:space="preserve"> included in Material Totals-
(Columns R and S).</t>
        </r>
      </text>
    </comment>
    <comment ref="A6" authorId="0">
      <text>
        <r>
          <rPr>
            <b/>
            <sz val="8"/>
            <color indexed="81"/>
            <rFont val="Tahoma"/>
            <family val="2"/>
          </rPr>
          <t>blong:</t>
        </r>
        <r>
          <rPr>
            <sz val="8"/>
            <color indexed="81"/>
            <rFont val="Tahoma"/>
            <family val="2"/>
          </rPr>
          <t xml:space="preserve">
Includes OCC
</t>
        </r>
      </text>
    </comment>
    <comment ref="N6" authorId="0">
      <text>
        <r>
          <rPr>
            <b/>
            <sz val="8"/>
            <color indexed="81"/>
            <rFont val="Tahoma"/>
            <family val="2"/>
          </rPr>
          <t xml:space="preserve">blong:
</t>
        </r>
        <r>
          <rPr>
            <sz val="8"/>
            <color indexed="81"/>
            <rFont val="Tahoma"/>
            <family val="2"/>
          </rPr>
          <t xml:space="preserve">157.85- Allied (OCC)
70.1- Bob's Refuse (newspaper)
</t>
        </r>
        <r>
          <rPr>
            <sz val="8"/>
            <color indexed="81"/>
            <rFont val="Tahoma"/>
            <family val="2"/>
          </rPr>
          <t xml:space="preserve">
</t>
        </r>
      </text>
    </comment>
    <comment ref="B7" authorId="2">
      <text>
        <r>
          <rPr>
            <b/>
            <sz val="8"/>
            <color indexed="81"/>
            <rFont val="Tahoma"/>
            <family val="2"/>
          </rPr>
          <t>kday
:</t>
        </r>
        <r>
          <rPr>
            <sz val="8"/>
            <color indexed="81"/>
            <rFont val="Tahoma"/>
            <family val="2"/>
          </rPr>
          <t>clean ups  &amp; special pick ups</t>
        </r>
      </text>
    </comment>
    <comment ref="D7" authorId="2">
      <text>
        <r>
          <rPr>
            <b/>
            <sz val="8"/>
            <color indexed="81"/>
            <rFont val="Tahoma"/>
            <family val="2"/>
          </rPr>
          <t>kday:</t>
        </r>
        <r>
          <rPr>
            <sz val="8"/>
            <color indexed="81"/>
            <rFont val="Tahoma"/>
            <family val="2"/>
          </rPr>
          <t xml:space="preserve">
metal hopper</t>
        </r>
      </text>
    </comment>
    <comment ref="E7" authorId="2">
      <text>
        <r>
          <rPr>
            <b/>
            <sz val="8"/>
            <color indexed="81"/>
            <rFont val="Tahoma"/>
            <family val="2"/>
          </rPr>
          <t>kday:</t>
        </r>
        <r>
          <rPr>
            <sz val="8"/>
            <color indexed="81"/>
            <rFont val="Tahoma"/>
            <family val="2"/>
          </rPr>
          <t xml:space="preserve">
oil filter metal 0.827 Recycling 6.05 John B.</t>
        </r>
      </text>
    </comment>
    <comment ref="M7" authorId="0">
      <text>
        <r>
          <rPr>
            <b/>
            <sz val="8"/>
            <color indexed="81"/>
            <rFont val="Tahoma"/>
            <family val="2"/>
          </rPr>
          <t>blong:</t>
        </r>
        <r>
          <rPr>
            <sz val="8"/>
            <color indexed="81"/>
            <rFont val="Tahoma"/>
            <family val="2"/>
          </rPr>
          <t xml:space="preserve">
Includes oil filter ferrous metal
</t>
        </r>
      </text>
    </comment>
    <comment ref="S7" authorId="0">
      <text>
        <r>
          <rPr>
            <b/>
            <sz val="8"/>
            <color indexed="81"/>
            <rFont val="Tahoma"/>
            <family val="2"/>
          </rPr>
          <t>blong:</t>
        </r>
        <r>
          <rPr>
            <sz val="8"/>
            <color indexed="81"/>
            <rFont val="Tahoma"/>
            <family val="2"/>
          </rPr>
          <t xml:space="preserve">
Includes oil filter ferrous metal</t>
        </r>
      </text>
    </comment>
    <comment ref="N10" authorId="0">
      <text>
        <r>
          <rPr>
            <b/>
            <sz val="8"/>
            <color indexed="81"/>
            <rFont val="Tahoma"/>
            <family val="2"/>
          </rPr>
          <t>blong:</t>
        </r>
        <r>
          <rPr>
            <sz val="8"/>
            <color indexed="81"/>
            <rFont val="Tahoma"/>
            <family val="2"/>
          </rPr>
          <t xml:space="preserve">
Bob's Refuse</t>
        </r>
      </text>
    </comment>
    <comment ref="C11" authorId="2">
      <text>
        <r>
          <rPr>
            <b/>
            <sz val="8"/>
            <color indexed="81"/>
            <rFont val="Tahoma"/>
            <family val="2"/>
          </rPr>
          <t>kday:</t>
        </r>
        <r>
          <rPr>
            <sz val="8"/>
            <color indexed="81"/>
            <rFont val="Tahoma"/>
            <family val="2"/>
          </rPr>
          <t xml:space="preserve">
leaves</t>
        </r>
      </text>
    </comment>
    <comment ref="I11" authorId="0">
      <text>
        <r>
          <rPr>
            <b/>
            <sz val="8"/>
            <color indexed="81"/>
            <rFont val="Tahoma"/>
            <family val="2"/>
          </rPr>
          <t>blong:</t>
        </r>
        <r>
          <rPr>
            <sz val="8"/>
            <color indexed="81"/>
            <rFont val="Tahoma"/>
            <family val="2"/>
          </rPr>
          <t xml:space="preserve">
Hilton Garden Inn:
1 ton to Valley Landscaping</t>
        </r>
      </text>
    </comment>
    <comment ref="C12" authorId="2">
      <text>
        <r>
          <rPr>
            <b/>
            <sz val="8"/>
            <color indexed="81"/>
            <rFont val="Tahoma"/>
            <family val="2"/>
          </rPr>
          <t>kday:</t>
        </r>
        <r>
          <rPr>
            <sz val="8"/>
            <color indexed="81"/>
            <rFont val="Tahoma"/>
            <family val="2"/>
          </rPr>
          <t xml:space="preserve">
brush</t>
        </r>
      </text>
    </comment>
    <comment ref="K12" authorId="0">
      <text>
        <r>
          <rPr>
            <b/>
            <sz val="8"/>
            <color indexed="81"/>
            <rFont val="Tahoma"/>
            <family val="2"/>
          </rPr>
          <t xml:space="preserve">blong 
</t>
        </r>
        <r>
          <rPr>
            <sz val="8"/>
            <color indexed="81"/>
            <rFont val="Tahoma"/>
            <family val="2"/>
          </rPr>
          <t>wood</t>
        </r>
        <r>
          <rPr>
            <b/>
            <sz val="8"/>
            <color indexed="81"/>
            <rFont val="Tahoma"/>
            <family val="2"/>
          </rPr>
          <t xml:space="preserve"> </t>
        </r>
        <r>
          <rPr>
            <sz val="8"/>
            <color indexed="81"/>
            <rFont val="Tahoma"/>
            <family val="2"/>
          </rPr>
          <t>pallets</t>
        </r>
      </text>
    </comment>
    <comment ref="I13" authorId="0">
      <text>
        <r>
          <rPr>
            <b/>
            <sz val="8"/>
            <color indexed="81"/>
            <rFont val="Tahoma"/>
            <family val="2"/>
          </rPr>
          <t>blong:</t>
        </r>
        <r>
          <rPr>
            <sz val="8"/>
            <color indexed="81"/>
            <rFont val="Tahoma"/>
            <family val="2"/>
          </rPr>
          <t xml:space="preserve">
YMCA- </t>
        </r>
        <r>
          <rPr>
            <b/>
            <sz val="8"/>
            <color indexed="81"/>
            <rFont val="Tahoma"/>
            <family val="2"/>
          </rPr>
          <t>Clothing, etc.</t>
        </r>
        <r>
          <rPr>
            <sz val="8"/>
            <color indexed="81"/>
            <rFont val="Tahoma"/>
            <family val="2"/>
          </rPr>
          <t xml:space="preserve">
100 tons total recycled
900 tons reused - See Reused SRM below (row 33)</t>
        </r>
      </text>
    </comment>
    <comment ref="E15" authorId="0">
      <text>
        <r>
          <rPr>
            <b/>
            <sz val="8"/>
            <color indexed="81"/>
            <rFont val="Tahoma"/>
            <family val="2"/>
          </rPr>
          <t>kday:</t>
        </r>
        <r>
          <rPr>
            <sz val="8"/>
            <color indexed="81"/>
            <rFont val="Tahoma"/>
            <family val="2"/>
          </rPr>
          <t xml:space="preserve">
compost food waste only</t>
        </r>
      </text>
    </comment>
    <comment ref="I15" authorId="0">
      <text>
        <r>
          <rPr>
            <b/>
            <sz val="8"/>
            <color indexed="81"/>
            <rFont val="Tahoma"/>
            <family val="2"/>
          </rPr>
          <t>blong:</t>
        </r>
        <r>
          <rPr>
            <sz val="8"/>
            <color indexed="81"/>
            <rFont val="Tahoma"/>
            <family val="2"/>
          </rPr>
          <t xml:space="preserve">
YMCA- </t>
        </r>
        <r>
          <rPr>
            <b/>
            <sz val="8"/>
            <color indexed="81"/>
            <rFont val="Tahoma"/>
            <family val="2"/>
          </rPr>
          <t>Books</t>
        </r>
        <r>
          <rPr>
            <sz val="8"/>
            <color indexed="81"/>
            <rFont val="Tahoma"/>
            <family val="2"/>
          </rPr>
          <t xml:space="preserve">
16 tons total recycled
100 tons reused- See Reused SRM below (row 33)</t>
        </r>
      </text>
    </comment>
    <comment ref="K15" authorId="0">
      <text>
        <r>
          <rPr>
            <b/>
            <sz val="8"/>
            <color indexed="81"/>
            <rFont val="Tahoma"/>
            <family val="2"/>
          </rPr>
          <t>blong:</t>
        </r>
        <r>
          <rPr>
            <sz val="8"/>
            <color indexed="81"/>
            <rFont val="Tahoma"/>
            <family val="2"/>
          </rPr>
          <t xml:space="preserve">
Tetra:
Misc paper board</t>
        </r>
      </text>
    </comment>
    <comment ref="I16" authorId="0">
      <text>
        <r>
          <rPr>
            <b/>
            <sz val="8"/>
            <color indexed="81"/>
            <rFont val="Tahoma"/>
            <family val="2"/>
          </rPr>
          <t>blong:</t>
        </r>
        <r>
          <rPr>
            <sz val="8"/>
            <color indexed="81"/>
            <rFont val="Tahoma"/>
            <family val="2"/>
          </rPr>
          <t xml:space="preserve">
Draper Aden and Associates- 18.19 tons
YMCA- 95 tons</t>
        </r>
      </text>
    </comment>
    <comment ref="K16" authorId="0">
      <text>
        <r>
          <rPr>
            <b/>
            <sz val="8"/>
            <color indexed="81"/>
            <rFont val="Tahoma"/>
            <family val="2"/>
          </rPr>
          <t>blong:</t>
        </r>
        <r>
          <rPr>
            <sz val="8"/>
            <color indexed="81"/>
            <rFont val="Tahoma"/>
            <family val="2"/>
          </rPr>
          <t xml:space="preserve">
Luna Innovations</t>
        </r>
      </text>
    </comment>
    <comment ref="L20" authorId="0">
      <text>
        <r>
          <rPr>
            <b/>
            <sz val="8"/>
            <color indexed="81"/>
            <rFont val="Tahoma"/>
            <family val="2"/>
          </rPr>
          <t>blong:</t>
        </r>
        <r>
          <rPr>
            <sz val="8"/>
            <color indexed="81"/>
            <rFont val="Tahoma"/>
            <family val="2"/>
          </rPr>
          <t xml:space="preserve">
Aamco Transmission:
25 small
50 medium
Number is approx. per Aamco</t>
        </r>
      </text>
    </comment>
    <comment ref="P20" authorId="0">
      <text>
        <r>
          <rPr>
            <b/>
            <sz val="8"/>
            <color indexed="81"/>
            <rFont val="Tahoma"/>
            <family val="2"/>
          </rPr>
          <t>blong:</t>
        </r>
        <r>
          <rPr>
            <sz val="8"/>
            <color indexed="81"/>
            <rFont val="Tahoma"/>
            <family val="2"/>
          </rPr>
          <t xml:space="preserve">
10 large
18 medium
12 small</t>
        </r>
      </text>
    </comment>
    <comment ref="E21" authorId="0">
      <text>
        <r>
          <rPr>
            <b/>
            <sz val="8"/>
            <color indexed="81"/>
            <rFont val="Tahoma"/>
            <family val="2"/>
          </rPr>
          <t>kday: used oil, oil filter used oil</t>
        </r>
        <r>
          <rPr>
            <sz val="8"/>
            <color indexed="81"/>
            <rFont val="Tahoma"/>
            <family val="2"/>
          </rPr>
          <t xml:space="preserve">
</t>
        </r>
      </text>
    </comment>
    <comment ref="M21" authorId="0">
      <text>
        <r>
          <rPr>
            <b/>
            <sz val="8"/>
            <color indexed="81"/>
            <rFont val="Tahoma"/>
            <family val="2"/>
          </rPr>
          <t>blong:</t>
        </r>
        <r>
          <rPr>
            <sz val="8"/>
            <color indexed="81"/>
            <rFont val="Tahoma"/>
            <family val="2"/>
          </rPr>
          <t xml:space="preserve">
Includes oil from oil filters</t>
        </r>
      </text>
    </comment>
    <comment ref="S21" authorId="0">
      <text>
        <r>
          <rPr>
            <b/>
            <sz val="8"/>
            <color indexed="81"/>
            <rFont val="Tahoma"/>
            <family val="2"/>
          </rPr>
          <t>blong:</t>
        </r>
        <r>
          <rPr>
            <sz val="8"/>
            <color indexed="81"/>
            <rFont val="Tahoma"/>
            <family val="2"/>
          </rPr>
          <t xml:space="preserve">
Includes oil from oil filters</t>
        </r>
      </text>
    </comment>
    <comment ref="M22" authorId="0">
      <text>
        <r>
          <rPr>
            <b/>
            <sz val="8"/>
            <color indexed="81"/>
            <rFont val="Tahoma"/>
            <family val="2"/>
          </rPr>
          <t>blong:
SOUTH MAIN AUTO REPAIR - DO NOT COUNT</t>
        </r>
        <r>
          <rPr>
            <sz val="8"/>
            <color indexed="81"/>
            <rFont val="Tahoma"/>
            <family val="2"/>
          </rPr>
          <t xml:space="preserve">
2 tons of crushed oil filters were divided into used oil (from inside filters)- Line 19, and ferrous metal (oil filter material)- Line 5</t>
        </r>
      </text>
    </comment>
    <comment ref="S22" authorId="0">
      <text>
        <r>
          <rPr>
            <b/>
            <sz val="8"/>
            <color indexed="81"/>
            <rFont val="Tahoma"/>
            <family val="2"/>
          </rPr>
          <t>blong:
DO NOT COUNT</t>
        </r>
        <r>
          <rPr>
            <sz val="8"/>
            <color indexed="81"/>
            <rFont val="Tahoma"/>
            <family val="2"/>
          </rPr>
          <t xml:space="preserve">
2 tons of crushed oil filters were divided into used oil (from inside filters)- Line 19, and ferrous metal (oil filter material)- Line 5</t>
        </r>
      </text>
    </comment>
    <comment ref="M27" authorId="0">
      <text>
        <r>
          <rPr>
            <b/>
            <sz val="8"/>
            <color indexed="81"/>
            <rFont val="Tahoma"/>
            <family val="2"/>
          </rPr>
          <t>blong:</t>
        </r>
        <r>
          <rPr>
            <sz val="8"/>
            <color indexed="81"/>
            <rFont val="Tahoma"/>
            <family val="2"/>
          </rPr>
          <t xml:space="preserve">
Aamco Transmission:
.38 tons
Number is approx. per Aamco. Actual number of batteries recycled unknown. Calculations indicate approx. 21 batteries.
Aamco indicated approx. 700-800lbs of batteries recycled. 750lbs was used. 750lbs = .38 tons</t>
        </r>
      </text>
    </comment>
    <comment ref="K30" authorId="0">
      <text>
        <r>
          <rPr>
            <b/>
            <sz val="8"/>
            <color indexed="81"/>
            <rFont val="Tahoma"/>
            <family val="2"/>
          </rPr>
          <t>blong:</t>
        </r>
        <r>
          <rPr>
            <sz val="8"/>
            <color indexed="81"/>
            <rFont val="Tahoma"/>
            <family val="2"/>
          </rPr>
          <t xml:space="preserve">
Circuit Boards and Electronics</t>
        </r>
      </text>
    </comment>
    <comment ref="I32" authorId="0">
      <text>
        <r>
          <rPr>
            <b/>
            <sz val="8"/>
            <color indexed="81"/>
            <rFont val="Tahoma"/>
            <family val="2"/>
          </rPr>
          <t xml:space="preserve">blong:
DO NOT COUNT
</t>
        </r>
        <r>
          <rPr>
            <sz val="8"/>
            <color indexed="81"/>
            <rFont val="Tahoma"/>
            <family val="2"/>
          </rPr>
          <t>These totals should be i</t>
        </r>
        <r>
          <rPr>
            <sz val="8"/>
            <color indexed="81"/>
            <rFont val="Tahoma"/>
            <family val="2"/>
          </rPr>
          <t>ncluded in Valley Protein's route numbers. (Column O, Row 30)</t>
        </r>
      </text>
    </comment>
    <comment ref="O32" authorId="0">
      <text>
        <r>
          <rPr>
            <b/>
            <sz val="8"/>
            <color indexed="81"/>
            <rFont val="Tahoma"/>
            <family val="2"/>
          </rPr>
          <t>blong:</t>
        </r>
        <r>
          <rPr>
            <sz val="8"/>
            <color indexed="81"/>
            <rFont val="Tahoma"/>
            <family val="2"/>
          </rPr>
          <t xml:space="preserve">
Valley Protein</t>
        </r>
      </text>
    </comment>
    <comment ref="E33" authorId="2">
      <text>
        <r>
          <rPr>
            <b/>
            <sz val="8"/>
            <color indexed="81"/>
            <rFont val="Tahoma"/>
            <family val="2"/>
          </rPr>
          <t>kday:</t>
        </r>
        <r>
          <rPr>
            <sz val="8"/>
            <color indexed="81"/>
            <rFont val="Tahoma"/>
            <family val="2"/>
          </rPr>
          <t xml:space="preserve">
cartridges, lead wheel weights, ballasts, capacitors, PD radios, mercury
</t>
        </r>
      </text>
    </comment>
    <comment ref="I33" authorId="0">
      <text>
        <r>
          <rPr>
            <b/>
            <sz val="8"/>
            <color indexed="81"/>
            <rFont val="Tahoma"/>
            <family val="2"/>
          </rPr>
          <t>blong:</t>
        </r>
        <r>
          <rPr>
            <sz val="8"/>
            <color indexed="81"/>
            <rFont val="Tahoma"/>
            <family val="2"/>
          </rPr>
          <t xml:space="preserve">
nonhazardous solids
</t>
        </r>
      </text>
    </comment>
    <comment ref="K33" authorId="0">
      <text>
        <r>
          <rPr>
            <b/>
            <sz val="8"/>
            <color indexed="81"/>
            <rFont val="Tahoma"/>
            <family val="2"/>
          </rPr>
          <t>blong:</t>
        </r>
        <r>
          <rPr>
            <sz val="8"/>
            <color indexed="81"/>
            <rFont val="Tahoma"/>
            <family val="2"/>
          </rPr>
          <t xml:space="preserve">
</t>
        </r>
        <r>
          <rPr>
            <b/>
            <sz val="8"/>
            <color indexed="81"/>
            <rFont val="Tahoma"/>
            <family val="2"/>
          </rPr>
          <t>Federal Mogul</t>
        </r>
        <r>
          <rPr>
            <sz val="8"/>
            <color indexed="81"/>
            <rFont val="Tahoma"/>
            <family val="2"/>
          </rPr>
          <t xml:space="preserve">- various materials
</t>
        </r>
        <r>
          <rPr>
            <b/>
            <sz val="8"/>
            <color indexed="81"/>
            <rFont val="Tahoma"/>
            <family val="2"/>
          </rPr>
          <t>Moog Inc</t>
        </r>
        <r>
          <rPr>
            <sz val="8"/>
            <color indexed="81"/>
            <rFont val="Tahoma"/>
            <family val="2"/>
          </rPr>
          <t xml:space="preserve">- empty drums
</t>
        </r>
        <r>
          <rPr>
            <b/>
            <sz val="8"/>
            <color indexed="81"/>
            <rFont val="Tahoma"/>
            <family val="2"/>
          </rPr>
          <t>Mountain Precision Tool</t>
        </r>
        <r>
          <rPr>
            <sz val="8"/>
            <color indexed="81"/>
            <rFont val="Tahoma"/>
            <family val="2"/>
          </rPr>
          <t>- waste oil and coolant
(actual amounts of each not provided)</t>
        </r>
      </text>
    </comment>
    <comment ref="O33" authorId="0">
      <text>
        <r>
          <rPr>
            <b/>
            <sz val="8"/>
            <color indexed="81"/>
            <rFont val="Tahoma"/>
            <family val="2"/>
          </rPr>
          <t>blong:</t>
        </r>
        <r>
          <rPr>
            <sz val="8"/>
            <color indexed="81"/>
            <rFont val="Tahoma"/>
            <family val="2"/>
          </rPr>
          <t xml:space="preserve">
Valley Protein-
bones</t>
        </r>
      </text>
    </comment>
    <comment ref="E35" authorId="0">
      <text>
        <r>
          <rPr>
            <b/>
            <sz val="8"/>
            <color indexed="81"/>
            <rFont val="Tahoma"/>
            <family val="2"/>
          </rPr>
          <t>blong:</t>
        </r>
        <r>
          <rPr>
            <sz val="8"/>
            <color indexed="81"/>
            <rFont val="Tahoma"/>
            <family val="2"/>
          </rPr>
          <t xml:space="preserve">
used oil for garage furnace
</t>
        </r>
      </text>
    </comment>
    <comment ref="I35" authorId="0">
      <text>
        <r>
          <rPr>
            <b/>
            <sz val="8"/>
            <color indexed="81"/>
            <rFont val="Tahoma"/>
            <family val="2"/>
          </rPr>
          <t>blong:</t>
        </r>
        <r>
          <rPr>
            <sz val="8"/>
            <color indexed="81"/>
            <rFont val="Tahoma"/>
            <family val="2"/>
          </rPr>
          <t xml:space="preserve">
YMCA
Reused textiles (900 tons) + reused books (100 tons) + reused furniture (200 tons)
</t>
        </r>
        <r>
          <rPr>
            <sz val="8"/>
            <color indexed="81"/>
            <rFont val="Tahoma"/>
            <family val="2"/>
          </rPr>
          <t>NO FURNITURE RECYCLED, ONLY REUSED</t>
        </r>
      </text>
    </comment>
    <comment ref="M35" authorId="0">
      <text>
        <r>
          <rPr>
            <b/>
            <sz val="8"/>
            <color indexed="81"/>
            <rFont val="Tahoma"/>
            <family val="2"/>
          </rPr>
          <t xml:space="preserve">blong:
PRICE'S SERVICE CENTER
</t>
        </r>
        <r>
          <rPr>
            <sz val="8"/>
            <color indexed="81"/>
            <rFont val="Tahoma"/>
            <family val="2"/>
          </rPr>
          <t>Oil reused in furnace:
motor oil = 1.48
trans. fluid = .37</t>
        </r>
      </text>
    </comment>
    <comment ref="K38" authorId="0">
      <text>
        <r>
          <rPr>
            <b/>
            <sz val="8"/>
            <color indexed="81"/>
            <rFont val="Tahoma"/>
            <family val="2"/>
          </rPr>
          <t>blong:</t>
        </r>
        <r>
          <rPr>
            <sz val="8"/>
            <color indexed="81"/>
            <rFont val="Tahoma"/>
            <family val="2"/>
          </rPr>
          <t xml:space="preserve">
Blacksburg High School - recycled metal from roof collapse.</t>
        </r>
      </text>
    </comment>
    <comment ref="K42" authorId="0">
      <text>
        <r>
          <rPr>
            <b/>
            <sz val="8"/>
            <color indexed="81"/>
            <rFont val="Tahoma"/>
            <family val="2"/>
          </rPr>
          <t>blong:</t>
        </r>
        <r>
          <rPr>
            <sz val="8"/>
            <color indexed="81"/>
            <rFont val="Tahoma"/>
            <family val="2"/>
          </rPr>
          <t xml:space="preserve">
Cannot be used for DEQ report</t>
        </r>
      </text>
    </comment>
    <comment ref="E43" authorId="1">
      <text>
        <r>
          <rPr>
            <b/>
            <sz val="8"/>
            <color indexed="81"/>
            <rFont val="Tahoma"/>
            <family val="2"/>
          </rPr>
          <t>Karen Day:</t>
        </r>
        <r>
          <rPr>
            <sz val="8"/>
            <color indexed="81"/>
            <rFont val="Tahoma"/>
            <family val="2"/>
          </rPr>
          <t xml:space="preserve">
Includes reused milled asphalt (450).</t>
        </r>
      </text>
    </comment>
    <comment ref="O43" authorId="0">
      <text>
        <r>
          <rPr>
            <b/>
            <sz val="8"/>
            <color indexed="81"/>
            <rFont val="Tahoma"/>
            <family val="2"/>
          </rPr>
          <t>blong:</t>
        </r>
        <r>
          <rPr>
            <sz val="8"/>
            <color indexed="81"/>
            <rFont val="Tahoma"/>
            <family val="2"/>
          </rPr>
          <t xml:space="preserve">
PME compost collection</t>
        </r>
      </text>
    </comment>
    <comment ref="S43" authorId="0">
      <text>
        <r>
          <rPr>
            <b/>
            <sz val="8"/>
            <color indexed="81"/>
            <rFont val="Tahoma"/>
            <family val="2"/>
          </rPr>
          <t>blong:</t>
        </r>
        <r>
          <rPr>
            <sz val="8"/>
            <color indexed="81"/>
            <rFont val="Tahoma"/>
            <family val="2"/>
          </rPr>
          <t xml:space="preserve">
PME compost collection</t>
        </r>
      </text>
    </comment>
    <comment ref="B51" authorId="0">
      <text>
        <r>
          <rPr>
            <b/>
            <sz val="8"/>
            <color indexed="81"/>
            <rFont val="Tahoma"/>
            <family val="2"/>
          </rPr>
          <t>kday:</t>
        </r>
        <r>
          <rPr>
            <sz val="8"/>
            <color indexed="81"/>
            <rFont val="Tahoma"/>
            <family val="2"/>
          </rPr>
          <t xml:space="preserve">
curbside, special pickup, cleanup</t>
        </r>
      </text>
    </comment>
    <comment ref="H52" authorId="1">
      <text>
        <r>
          <rPr>
            <b/>
            <sz val="8"/>
            <color indexed="81"/>
            <rFont val="Tahoma"/>
            <family val="2"/>
          </rPr>
          <t>Rachael Budowle:</t>
        </r>
        <r>
          <rPr>
            <sz val="8"/>
            <color indexed="81"/>
            <rFont val="Tahoma"/>
            <family val="2"/>
          </rPr>
          <t xml:space="preserve">
Reported only; should not be double counted with numbers from scale house. Inaccurate information for a Blacksburg specific rate.</t>
        </r>
      </text>
    </comment>
    <comment ref="L52" authorId="0">
      <text>
        <r>
          <rPr>
            <b/>
            <sz val="8"/>
            <color indexed="81"/>
            <rFont val="Tahoma"/>
            <family val="2"/>
          </rPr>
          <t>Rachael Budowle:</t>
        </r>
        <r>
          <rPr>
            <sz val="8"/>
            <color indexed="81"/>
            <rFont val="Tahoma"/>
            <family val="2"/>
          </rPr>
          <t xml:space="preserve">
Reported only; should not be double counted with numbers from scale house. Inaccurate information for a Blacksburg specific rate.</t>
        </r>
      </text>
    </comment>
    <comment ref="P52" authorId="0">
      <text>
        <r>
          <rPr>
            <b/>
            <sz val="8"/>
            <color indexed="81"/>
            <rFont val="Tahoma"/>
            <family val="2"/>
          </rPr>
          <t xml:space="preserve">blong:
</t>
        </r>
        <r>
          <rPr>
            <sz val="8"/>
            <color indexed="81"/>
            <rFont val="Tahoma"/>
            <family val="2"/>
          </rPr>
          <t>66 tons - Roll Off
840 tons - Commercial</t>
        </r>
      </text>
    </comment>
    <comment ref="D53" authorId="0">
      <text>
        <r>
          <rPr>
            <b/>
            <sz val="8"/>
            <color indexed="81"/>
            <rFont val="Tahoma"/>
            <family val="2"/>
          </rPr>
          <t>blong:</t>
        </r>
        <r>
          <rPr>
            <sz val="8"/>
            <color indexed="81"/>
            <rFont val="Tahoma"/>
            <family val="2"/>
          </rPr>
          <t xml:space="preserve">
C&amp;D, PW Roll Off, Street Sweeper</t>
        </r>
      </text>
    </comment>
    <comment ref="J53" authorId="1">
      <text>
        <r>
          <rPr>
            <b/>
            <sz val="8"/>
            <color indexed="81"/>
            <rFont val="Tahoma"/>
            <family val="2"/>
          </rPr>
          <t>Rachael Budowle:</t>
        </r>
        <r>
          <rPr>
            <sz val="8"/>
            <color indexed="81"/>
            <rFont val="Tahoma"/>
            <family val="2"/>
          </rPr>
          <t xml:space="preserve">
Reported only; should not be double counted with numbers from scale house. Inaccurate information for a Blacksburg specific rate.</t>
        </r>
      </text>
    </comment>
    <comment ref="N54" authorId="0">
      <text>
        <r>
          <rPr>
            <b/>
            <sz val="8"/>
            <color indexed="81"/>
            <rFont val="Tahoma"/>
            <family val="2"/>
          </rPr>
          <t>blong:</t>
        </r>
        <r>
          <rPr>
            <sz val="8"/>
            <color indexed="81"/>
            <rFont val="Tahoma"/>
            <family val="2"/>
          </rPr>
          <t xml:space="preserve">
Total Refuse Collected:
Allied and Bob's Refuse
</t>
        </r>
        <r>
          <rPr>
            <b/>
            <sz val="8"/>
            <color indexed="81"/>
            <rFont val="Tahoma"/>
            <family val="2"/>
          </rPr>
          <t>Rachael Budowle:</t>
        </r>
        <r>
          <rPr>
            <sz val="8"/>
            <color indexed="81"/>
            <rFont val="Tahoma"/>
            <family val="2"/>
          </rPr>
          <t xml:space="preserve">
Reported only; should not be double counted with numbers from scale house. Inaccurate information for a Blacksburg specific rate.</t>
        </r>
      </text>
    </comment>
    <comment ref="P54" authorId="0">
      <text>
        <r>
          <rPr>
            <b/>
            <sz val="8"/>
            <color indexed="81"/>
            <rFont val="Tahoma"/>
            <family val="2"/>
          </rPr>
          <t>blong:</t>
        </r>
        <r>
          <rPr>
            <sz val="8"/>
            <color indexed="81"/>
            <rFont val="Tahoma"/>
            <family val="2"/>
          </rPr>
          <t xml:space="preserve">
Total refuse collected in Blacksburg per WM
</t>
        </r>
      </text>
    </comment>
  </commentList>
</comments>
</file>

<file path=xl/comments3.xml><?xml version="1.0" encoding="utf-8"?>
<comments xmlns="http://schemas.openxmlformats.org/spreadsheetml/2006/main">
  <authors>
    <author>blong</author>
    <author>Rachael Budowle</author>
    <author>kday</author>
  </authors>
  <commentList>
    <comment ref="F3" authorId="0">
      <text>
        <r>
          <rPr>
            <b/>
            <sz val="8"/>
            <color indexed="81"/>
            <rFont val="Tahoma"/>
            <family val="2"/>
          </rPr>
          <t>blong:</t>
        </r>
        <r>
          <rPr>
            <sz val="8"/>
            <color indexed="81"/>
            <rFont val="Tahoma"/>
            <family val="2"/>
          </rPr>
          <t xml:space="preserve">
No non-route information available for 2009. Apartment R&amp;R can be found within business information</t>
        </r>
      </text>
    </comment>
    <comment ref="H3" authorId="1">
      <text>
        <r>
          <rPr>
            <b/>
            <sz val="8"/>
            <color indexed="81"/>
            <rFont val="Tahoma"/>
            <family val="2"/>
          </rPr>
          <t>Rachael Budowle:</t>
        </r>
        <r>
          <rPr>
            <sz val="8"/>
            <color indexed="81"/>
            <rFont val="Tahoma"/>
            <family val="2"/>
          </rPr>
          <t xml:space="preserve">
For business, industry, and garages, most material reported to MRSWA, so unable to determine "Blacksburg" rate. Please see recommendations for 2009.</t>
        </r>
      </text>
    </comment>
    <comment ref="P4" authorId="0">
      <text>
        <r>
          <rPr>
            <b/>
            <sz val="8"/>
            <color indexed="81"/>
            <rFont val="Tahoma"/>
            <family val="2"/>
          </rPr>
          <t>blong:</t>
        </r>
        <r>
          <rPr>
            <sz val="8"/>
            <color indexed="81"/>
            <rFont val="Tahoma"/>
            <family val="2"/>
          </rPr>
          <t xml:space="preserve">
Recyclables delivered to both MRSWA and Waste Mangement Incorporated. Unsure of amounts to each location. WM did not indicate. Due to uncertainty, amounts from WM not included in report totals.</t>
        </r>
      </text>
    </comment>
    <comment ref="M6" authorId="0">
      <text>
        <r>
          <rPr>
            <b/>
            <sz val="8"/>
            <color indexed="81"/>
            <rFont val="Tahoma"/>
            <family val="2"/>
          </rPr>
          <t>blong:</t>
        </r>
        <r>
          <rPr>
            <sz val="8"/>
            <color indexed="81"/>
            <rFont val="Tahoma"/>
            <family val="2"/>
          </rPr>
          <t xml:space="preserve">
OCC</t>
        </r>
      </text>
    </comment>
    <comment ref="B7" authorId="2">
      <text>
        <r>
          <rPr>
            <b/>
            <sz val="8"/>
            <color indexed="81"/>
            <rFont val="Tahoma"/>
            <family val="2"/>
          </rPr>
          <t>kday
:</t>
        </r>
        <r>
          <rPr>
            <sz val="8"/>
            <color indexed="81"/>
            <rFont val="Tahoma"/>
            <family val="2"/>
          </rPr>
          <t>clean ups  &amp; special pick ups</t>
        </r>
      </text>
    </comment>
    <comment ref="D7" authorId="2">
      <text>
        <r>
          <rPr>
            <b/>
            <sz val="8"/>
            <color indexed="81"/>
            <rFont val="Tahoma"/>
            <family val="2"/>
          </rPr>
          <t>kday:</t>
        </r>
        <r>
          <rPr>
            <sz val="8"/>
            <color indexed="81"/>
            <rFont val="Tahoma"/>
            <family val="2"/>
          </rPr>
          <t xml:space="preserve">
metal hopper</t>
        </r>
      </text>
    </comment>
    <comment ref="E7" authorId="2">
      <text>
        <r>
          <rPr>
            <b/>
            <sz val="8"/>
            <color indexed="81"/>
            <rFont val="Tahoma"/>
            <family val="2"/>
          </rPr>
          <t>kday:</t>
        </r>
        <r>
          <rPr>
            <sz val="8"/>
            <color indexed="81"/>
            <rFont val="Tahoma"/>
            <family val="2"/>
          </rPr>
          <t xml:space="preserve">
oil filter metal 0.827 Recycling 6.05 Bill W.</t>
        </r>
      </text>
    </comment>
    <comment ref="D8" authorId="2">
      <text>
        <r>
          <rPr>
            <b/>
            <sz val="8"/>
            <color indexed="81"/>
            <rFont val="Tahoma"/>
            <family val="2"/>
          </rPr>
          <t>kday:</t>
        </r>
        <r>
          <rPr>
            <sz val="8"/>
            <color indexed="81"/>
            <rFont val="Tahoma"/>
            <family val="2"/>
          </rPr>
          <t xml:space="preserve">
old curbside bins</t>
        </r>
      </text>
    </comment>
    <comment ref="C11" authorId="2">
      <text>
        <r>
          <rPr>
            <b/>
            <sz val="8"/>
            <color indexed="81"/>
            <rFont val="Tahoma"/>
            <family val="2"/>
          </rPr>
          <t>kday:</t>
        </r>
        <r>
          <rPr>
            <sz val="8"/>
            <color indexed="81"/>
            <rFont val="Tahoma"/>
            <family val="2"/>
          </rPr>
          <t xml:space="preserve">
leaves</t>
        </r>
      </text>
    </comment>
    <comment ref="E11" authorId="2">
      <text>
        <r>
          <rPr>
            <b/>
            <sz val="8"/>
            <color indexed="81"/>
            <rFont val="Tahoma"/>
            <family val="2"/>
          </rPr>
          <t>kday:</t>
        </r>
        <r>
          <rPr>
            <sz val="8"/>
            <color indexed="81"/>
            <rFont val="Tahoma"/>
            <family val="2"/>
          </rPr>
          <t xml:space="preserve">
plant waste from medians</t>
        </r>
      </text>
    </comment>
    <comment ref="C12" authorId="2">
      <text>
        <r>
          <rPr>
            <b/>
            <sz val="8"/>
            <color indexed="81"/>
            <rFont val="Tahoma"/>
            <family val="2"/>
          </rPr>
          <t>kday:</t>
        </r>
        <r>
          <rPr>
            <sz val="8"/>
            <color indexed="81"/>
            <rFont val="Tahoma"/>
            <family val="2"/>
          </rPr>
          <t xml:space="preserve">
brush</t>
        </r>
      </text>
    </comment>
    <comment ref="K12" authorId="0">
      <text>
        <r>
          <rPr>
            <b/>
            <sz val="8"/>
            <color indexed="81"/>
            <rFont val="Tahoma"/>
            <family val="2"/>
          </rPr>
          <t>blong:</t>
        </r>
        <r>
          <rPr>
            <sz val="8"/>
            <color indexed="81"/>
            <rFont val="Tahoma"/>
            <family val="2"/>
          </rPr>
          <t xml:space="preserve">
154.42 waste wood + 4.50 pallets</t>
        </r>
      </text>
    </comment>
    <comment ref="E15" authorId="0">
      <text>
        <r>
          <rPr>
            <b/>
            <sz val="8"/>
            <color indexed="81"/>
            <rFont val="Tahoma"/>
            <family val="2"/>
          </rPr>
          <t>kday:</t>
        </r>
        <r>
          <rPr>
            <sz val="8"/>
            <color indexed="81"/>
            <rFont val="Tahoma"/>
            <family val="2"/>
          </rPr>
          <t xml:space="preserve">
compost food waste only</t>
        </r>
      </text>
    </comment>
    <comment ref="E20" authorId="0">
      <text>
        <r>
          <rPr>
            <b/>
            <sz val="8"/>
            <color indexed="81"/>
            <rFont val="Tahoma"/>
            <family val="2"/>
          </rPr>
          <t>kday: used oil, oil filter used oil</t>
        </r>
        <r>
          <rPr>
            <sz val="8"/>
            <color indexed="81"/>
            <rFont val="Tahoma"/>
            <family val="2"/>
          </rPr>
          <t xml:space="preserve">
</t>
        </r>
      </text>
    </comment>
    <comment ref="M20" authorId="0">
      <text>
        <r>
          <rPr>
            <b/>
            <sz val="8"/>
            <color indexed="81"/>
            <rFont val="Tahoma"/>
            <family val="2"/>
          </rPr>
          <t>blong:</t>
        </r>
        <r>
          <rPr>
            <sz val="8"/>
            <color indexed="81"/>
            <rFont val="Tahoma"/>
            <family val="2"/>
          </rPr>
          <t xml:space="preserve">
+ 1.85 reused</t>
        </r>
      </text>
    </comment>
    <comment ref="M23" authorId="0">
      <text>
        <r>
          <rPr>
            <b/>
            <sz val="8"/>
            <color indexed="81"/>
            <rFont val="Tahoma"/>
            <family val="2"/>
          </rPr>
          <t>blong:</t>
        </r>
        <r>
          <rPr>
            <sz val="8"/>
            <color indexed="81"/>
            <rFont val="Tahoma"/>
            <family val="2"/>
          </rPr>
          <t xml:space="preserve">
+ .37 reused
</t>
        </r>
      </text>
    </comment>
    <comment ref="K29" authorId="0">
      <text>
        <r>
          <rPr>
            <b/>
            <sz val="8"/>
            <color indexed="81"/>
            <rFont val="Tahoma"/>
            <family val="2"/>
          </rPr>
          <t>blong:</t>
        </r>
        <r>
          <rPr>
            <sz val="8"/>
            <color indexed="81"/>
            <rFont val="Tahoma"/>
            <family val="2"/>
          </rPr>
          <t xml:space="preserve">
Circuit Boards and Electronics</t>
        </r>
      </text>
    </comment>
    <comment ref="O31" authorId="0">
      <text>
        <r>
          <rPr>
            <b/>
            <sz val="8"/>
            <color indexed="81"/>
            <rFont val="Tahoma"/>
            <family val="2"/>
          </rPr>
          <t>blong:</t>
        </r>
        <r>
          <rPr>
            <sz val="8"/>
            <color indexed="81"/>
            <rFont val="Tahoma"/>
            <family val="2"/>
          </rPr>
          <t xml:space="preserve">
Valley Protein</t>
        </r>
      </text>
    </comment>
    <comment ref="E32" authorId="2">
      <text>
        <r>
          <rPr>
            <b/>
            <sz val="8"/>
            <color indexed="81"/>
            <rFont val="Tahoma"/>
            <family val="2"/>
          </rPr>
          <t>kday:</t>
        </r>
        <r>
          <rPr>
            <sz val="8"/>
            <color indexed="81"/>
            <rFont val="Tahoma"/>
            <family val="2"/>
          </rPr>
          <t xml:space="preserve">
cartridges, lead wheel weights, ballasts, capacitors, PD radios, mercury
</t>
        </r>
      </text>
    </comment>
    <comment ref="K32" authorId="0">
      <text>
        <r>
          <rPr>
            <b/>
            <sz val="8"/>
            <color indexed="81"/>
            <rFont val="Tahoma"/>
            <family val="2"/>
          </rPr>
          <t>blong:</t>
        </r>
        <r>
          <rPr>
            <sz val="8"/>
            <color indexed="81"/>
            <rFont val="Tahoma"/>
            <family val="2"/>
          </rPr>
          <t xml:space="preserve">
drums</t>
        </r>
      </text>
    </comment>
    <comment ref="O32" authorId="0">
      <text>
        <r>
          <rPr>
            <b/>
            <sz val="8"/>
            <color indexed="81"/>
            <rFont val="Tahoma"/>
            <family val="2"/>
          </rPr>
          <t>blong:</t>
        </r>
        <r>
          <rPr>
            <sz val="8"/>
            <color indexed="81"/>
            <rFont val="Tahoma"/>
            <family val="2"/>
          </rPr>
          <t xml:space="preserve">
Valley Protein
</t>
        </r>
      </text>
    </comment>
    <comment ref="E34" authorId="0">
      <text>
        <r>
          <rPr>
            <b/>
            <sz val="8"/>
            <color indexed="81"/>
            <rFont val="Tahoma"/>
            <family val="2"/>
          </rPr>
          <t>blong:</t>
        </r>
        <r>
          <rPr>
            <sz val="8"/>
            <color indexed="81"/>
            <rFont val="Tahoma"/>
            <family val="2"/>
          </rPr>
          <t xml:space="preserve">
used oil for garage furnace
</t>
        </r>
      </text>
    </comment>
    <comment ref="K41" authorId="1">
      <text>
        <r>
          <rPr>
            <b/>
            <sz val="8"/>
            <color indexed="81"/>
            <rFont val="Tahoma"/>
            <family val="2"/>
          </rPr>
          <t>Rachael Budowle:</t>
        </r>
        <r>
          <rPr>
            <sz val="8"/>
            <color indexed="81"/>
            <rFont val="Tahoma"/>
            <family val="2"/>
          </rPr>
          <t xml:space="preserve">
Cannot be included in DEQ Report.</t>
        </r>
      </text>
    </comment>
    <comment ref="E42" authorId="1">
      <text>
        <r>
          <rPr>
            <b/>
            <sz val="8"/>
            <color indexed="81"/>
            <rFont val="Tahoma"/>
            <family val="2"/>
          </rPr>
          <t>Rachael Budowle:</t>
        </r>
        <r>
          <rPr>
            <sz val="8"/>
            <color indexed="81"/>
            <rFont val="Tahoma"/>
            <family val="2"/>
          </rPr>
          <t xml:space="preserve">
Reused milled asphalt.</t>
        </r>
      </text>
    </comment>
    <comment ref="J42" authorId="0">
      <text>
        <r>
          <rPr>
            <b/>
            <sz val="8"/>
            <color indexed="81"/>
            <rFont val="Tahoma"/>
            <family val="2"/>
          </rPr>
          <t>blong:</t>
        </r>
        <r>
          <rPr>
            <sz val="8"/>
            <color indexed="81"/>
            <rFont val="Tahoma"/>
            <family val="2"/>
          </rPr>
          <t xml:space="preserve">
Single Stream
</t>
        </r>
      </text>
    </comment>
    <comment ref="K42" authorId="0">
      <text>
        <r>
          <rPr>
            <b/>
            <sz val="8"/>
            <color indexed="81"/>
            <rFont val="Tahoma"/>
            <family val="2"/>
          </rPr>
          <t>blong:</t>
        </r>
        <r>
          <rPr>
            <sz val="8"/>
            <color indexed="81"/>
            <rFont val="Tahoma"/>
            <family val="2"/>
          </rPr>
          <t xml:space="preserve">
Compost and Nonhazardous Waste
</t>
        </r>
      </text>
    </comment>
    <comment ref="S42" authorId="0">
      <text>
        <r>
          <rPr>
            <b/>
            <sz val="8"/>
            <color indexed="81"/>
            <rFont val="Tahoma"/>
            <family val="2"/>
          </rPr>
          <t>blong:</t>
        </r>
        <r>
          <rPr>
            <sz val="8"/>
            <color indexed="81"/>
            <rFont val="Tahoma"/>
            <family val="2"/>
          </rPr>
          <t xml:space="preserve">
Did not used 450 reused milled ashphalt to prevent double counting. Used below in TOTAL OTHER REUSE.</t>
        </r>
      </text>
    </comment>
    <comment ref="B50" authorId="0">
      <text>
        <r>
          <rPr>
            <b/>
            <sz val="8"/>
            <color indexed="81"/>
            <rFont val="Tahoma"/>
            <family val="2"/>
          </rPr>
          <t>kday:</t>
        </r>
        <r>
          <rPr>
            <sz val="8"/>
            <color indexed="81"/>
            <rFont val="Tahoma"/>
            <family val="2"/>
          </rPr>
          <t xml:space="preserve">
curbside, special pickup, cleanup</t>
        </r>
      </text>
    </comment>
    <comment ref="H51" authorId="1">
      <text>
        <r>
          <rPr>
            <b/>
            <sz val="8"/>
            <color indexed="81"/>
            <rFont val="Tahoma"/>
            <family val="2"/>
          </rPr>
          <t>Rachael Budowle:</t>
        </r>
        <r>
          <rPr>
            <sz val="8"/>
            <color indexed="81"/>
            <rFont val="Tahoma"/>
            <family val="2"/>
          </rPr>
          <t xml:space="preserve">
Reported only; should not be double counted with numbers from scale house. Inaccurate information for a Blacksburg specific rate.</t>
        </r>
      </text>
    </comment>
    <comment ref="D52" authorId="0">
      <text>
        <r>
          <rPr>
            <b/>
            <sz val="8"/>
            <color indexed="81"/>
            <rFont val="Tahoma"/>
            <family val="2"/>
          </rPr>
          <t>blong:</t>
        </r>
        <r>
          <rPr>
            <sz val="8"/>
            <color indexed="81"/>
            <rFont val="Tahoma"/>
            <family val="2"/>
          </rPr>
          <t xml:space="preserve">
C&amp;D, PW Roll Off, Street Sweeper</t>
        </r>
      </text>
    </comment>
    <comment ref="J52" authorId="1">
      <text>
        <r>
          <rPr>
            <b/>
            <sz val="8"/>
            <color indexed="81"/>
            <rFont val="Tahoma"/>
            <family val="2"/>
          </rPr>
          <t>Rachael Budowle:</t>
        </r>
        <r>
          <rPr>
            <sz val="8"/>
            <color indexed="81"/>
            <rFont val="Tahoma"/>
            <family val="2"/>
          </rPr>
          <t xml:space="preserve">
Reported only; should not be double counted with numbers from scale house. Inaccurate information for a Blacksburg specific rate.</t>
        </r>
      </text>
    </comment>
    <comment ref="P53" authorId="0">
      <text>
        <r>
          <rPr>
            <b/>
            <sz val="8"/>
            <color indexed="81"/>
            <rFont val="Tahoma"/>
            <family val="2"/>
          </rPr>
          <t>blong:</t>
        </r>
        <r>
          <rPr>
            <sz val="8"/>
            <color indexed="81"/>
            <rFont val="Tahoma"/>
            <family val="2"/>
          </rPr>
          <t xml:space="preserve">
Total refuse collected in Blacksburg per WM
</t>
        </r>
      </text>
    </comment>
  </commentList>
</comments>
</file>

<file path=xl/comments4.xml><?xml version="1.0" encoding="utf-8"?>
<comments xmlns="http://schemas.openxmlformats.org/spreadsheetml/2006/main">
  <authors>
    <author>Rachael Budowle</author>
    <author>blong</author>
  </authors>
  <commentList>
    <comment ref="F3" authorId="0">
      <text>
        <r>
          <rPr>
            <b/>
            <sz val="8"/>
            <color indexed="81"/>
            <rFont val="Tahoma"/>
            <family val="2"/>
          </rPr>
          <t>Rachael Budowle:</t>
        </r>
        <r>
          <rPr>
            <sz val="8"/>
            <color indexed="81"/>
            <rFont val="Tahoma"/>
            <family val="2"/>
          </rPr>
          <t xml:space="preserve">
No non-route information available for 2008. </t>
        </r>
      </text>
    </comment>
    <comment ref="H3" authorId="0">
      <text>
        <r>
          <rPr>
            <b/>
            <sz val="8"/>
            <color indexed="81"/>
            <rFont val="Tahoma"/>
            <family val="2"/>
          </rPr>
          <t>Rachael Budowle:</t>
        </r>
        <r>
          <rPr>
            <sz val="8"/>
            <color indexed="81"/>
            <rFont val="Tahoma"/>
            <family val="2"/>
          </rPr>
          <t xml:space="preserve">
For business, industry, and garages, most material reported to MRSWA, so unable to determine "Blacksburg" rate. Please see recommendations for 2009.</t>
        </r>
      </text>
    </comment>
    <comment ref="E7" authorId="0">
      <text>
        <r>
          <rPr>
            <b/>
            <sz val="8"/>
            <color indexed="81"/>
            <rFont val="Tahoma"/>
            <family val="2"/>
          </rPr>
          <t>Rachael Budowle:</t>
        </r>
        <r>
          <rPr>
            <sz val="8"/>
            <color indexed="81"/>
            <rFont val="Tahoma"/>
            <family val="2"/>
          </rPr>
          <t xml:space="preserve">
includes ferrous metal from oil filters</t>
        </r>
      </text>
    </comment>
    <comment ref="K13" authorId="1">
      <text>
        <r>
          <rPr>
            <b/>
            <sz val="8"/>
            <color indexed="81"/>
            <rFont val="Tahoma"/>
            <family val="2"/>
          </rPr>
          <t>blong:</t>
        </r>
        <r>
          <rPr>
            <sz val="8"/>
            <color indexed="81"/>
            <rFont val="Tahoma"/>
            <family val="2"/>
          </rPr>
          <t xml:space="preserve">
Incorrect per Gail B. of YMCA. Tonnage total should be 87.</t>
        </r>
      </text>
    </comment>
    <comment ref="M18" authorId="0">
      <text>
        <r>
          <rPr>
            <b/>
            <sz val="8"/>
            <color indexed="81"/>
            <rFont val="Tahoma"/>
            <family val="2"/>
          </rPr>
          <t>Rachael Budowle:</t>
        </r>
        <r>
          <rPr>
            <sz val="8"/>
            <color indexed="81"/>
            <rFont val="Tahoma"/>
            <family val="2"/>
          </rPr>
          <t xml:space="preserve">
.5 reused</t>
        </r>
      </text>
    </comment>
    <comment ref="R18" authorId="0">
      <text>
        <r>
          <rPr>
            <b/>
            <sz val="8"/>
            <color indexed="81"/>
            <rFont val="Tahoma"/>
            <family val="2"/>
          </rPr>
          <t>Rachael Budowle:</t>
        </r>
        <r>
          <rPr>
            <sz val="8"/>
            <color indexed="81"/>
            <rFont val="Tahoma"/>
            <family val="2"/>
          </rPr>
          <t xml:space="preserve">
includes reuse
</t>
        </r>
      </text>
    </comment>
    <comment ref="M19" authorId="0">
      <text>
        <r>
          <rPr>
            <b/>
            <sz val="8"/>
            <color indexed="81"/>
            <rFont val="Tahoma"/>
            <family val="2"/>
          </rPr>
          <t>Rachael Budowle:</t>
        </r>
        <r>
          <rPr>
            <sz val="8"/>
            <color indexed="81"/>
            <rFont val="Tahoma"/>
            <family val="2"/>
          </rPr>
          <t xml:space="preserve">
7.22 reused</t>
        </r>
      </text>
    </comment>
    <comment ref="R19" authorId="0">
      <text>
        <r>
          <rPr>
            <b/>
            <sz val="8"/>
            <color indexed="81"/>
            <rFont val="Tahoma"/>
            <family val="2"/>
          </rPr>
          <t>Rachael Budowle:</t>
        </r>
        <r>
          <rPr>
            <sz val="8"/>
            <color indexed="81"/>
            <rFont val="Tahoma"/>
            <family val="2"/>
          </rPr>
          <t xml:space="preserve">
includes reuse</t>
        </r>
      </text>
    </comment>
    <comment ref="M21" authorId="0">
      <text>
        <r>
          <rPr>
            <b/>
            <sz val="8"/>
            <color indexed="81"/>
            <rFont val="Tahoma"/>
            <family val="2"/>
          </rPr>
          <t>Rachael Budowle:</t>
        </r>
        <r>
          <rPr>
            <sz val="8"/>
            <color indexed="81"/>
            <rFont val="Tahoma"/>
            <family val="2"/>
          </rPr>
          <t xml:space="preserve">
1 reused
</t>
        </r>
      </text>
    </comment>
    <comment ref="R21" authorId="0">
      <text>
        <r>
          <rPr>
            <b/>
            <sz val="8"/>
            <color indexed="81"/>
            <rFont val="Tahoma"/>
            <family val="2"/>
          </rPr>
          <t>Rachael Budowle:</t>
        </r>
        <r>
          <rPr>
            <sz val="8"/>
            <color indexed="81"/>
            <rFont val="Tahoma"/>
            <family val="2"/>
          </rPr>
          <t xml:space="preserve">
includes reuse</t>
        </r>
      </text>
    </comment>
    <comment ref="K23" authorId="0">
      <text>
        <r>
          <rPr>
            <b/>
            <sz val="8"/>
            <color indexed="81"/>
            <rFont val="Tahoma"/>
            <family val="2"/>
          </rPr>
          <t>Rachael Budowle:</t>
        </r>
        <r>
          <rPr>
            <sz val="8"/>
            <color indexed="81"/>
            <rFont val="Tahoma"/>
            <family val="2"/>
          </rPr>
          <t xml:space="preserve">
27.8 recycled, 17.7 reused. </t>
        </r>
      </text>
    </comment>
    <comment ref="R23" authorId="0">
      <text>
        <r>
          <rPr>
            <b/>
            <sz val="8"/>
            <color indexed="81"/>
            <rFont val="Tahoma"/>
            <family val="2"/>
          </rPr>
          <t>Rachael Budowle:</t>
        </r>
        <r>
          <rPr>
            <sz val="8"/>
            <color indexed="81"/>
            <rFont val="Tahoma"/>
            <family val="2"/>
          </rPr>
          <t xml:space="preserve">
includes reuse</t>
        </r>
      </text>
    </comment>
    <comment ref="E31" authorId="0">
      <text>
        <r>
          <rPr>
            <b/>
            <sz val="8"/>
            <color indexed="81"/>
            <rFont val="Tahoma"/>
            <family val="2"/>
          </rPr>
          <t>Rachael Budowle:</t>
        </r>
        <r>
          <rPr>
            <sz val="8"/>
            <color indexed="81"/>
            <rFont val="Tahoma"/>
            <family val="2"/>
          </rPr>
          <t xml:space="preserve">
lead wheel weights, ink cartridges, cell phones</t>
        </r>
      </text>
    </comment>
    <comment ref="K31" authorId="0">
      <text>
        <r>
          <rPr>
            <b/>
            <sz val="8"/>
            <color indexed="81"/>
            <rFont val="Tahoma"/>
            <family val="2"/>
          </rPr>
          <t>Rachael Budowle:</t>
        </r>
        <r>
          <rPr>
            <sz val="8"/>
            <color indexed="81"/>
            <rFont val="Tahoma"/>
            <family val="2"/>
          </rPr>
          <t xml:space="preserve">
.175= "non-hazardous soilds"
16.77= "furniture and equipment"
</t>
        </r>
      </text>
    </comment>
    <comment ref="D40" authorId="0">
      <text>
        <r>
          <rPr>
            <b/>
            <sz val="8"/>
            <color indexed="81"/>
            <rFont val="Tahoma"/>
            <family val="2"/>
          </rPr>
          <t>Rachael Budowle:</t>
        </r>
        <r>
          <rPr>
            <sz val="8"/>
            <color indexed="81"/>
            <rFont val="Tahoma"/>
            <family val="2"/>
          </rPr>
          <t xml:space="preserve">
Only a rough estimate of lamps and various other universal waste. Cannot be used in DEQ Report</t>
        </r>
      </text>
    </comment>
    <comment ref="K40" authorId="0">
      <text>
        <r>
          <rPr>
            <b/>
            <sz val="8"/>
            <color indexed="81"/>
            <rFont val="Tahoma"/>
            <family val="2"/>
          </rPr>
          <t>Rachael Budowle:</t>
        </r>
        <r>
          <rPr>
            <sz val="8"/>
            <color indexed="81"/>
            <rFont val="Tahoma"/>
            <family val="2"/>
          </rPr>
          <t xml:space="preserve">
Cannot be included in DEQ Report.</t>
        </r>
      </text>
    </comment>
    <comment ref="E41" authorId="0">
      <text>
        <r>
          <rPr>
            <b/>
            <sz val="8"/>
            <color indexed="81"/>
            <rFont val="Tahoma"/>
            <family val="2"/>
          </rPr>
          <t>Rachael Budowle:</t>
        </r>
        <r>
          <rPr>
            <sz val="8"/>
            <color indexed="81"/>
            <rFont val="Tahoma"/>
            <family val="2"/>
          </rPr>
          <t xml:space="preserve">
Reused milled asphalt.</t>
        </r>
      </text>
    </comment>
    <comment ref="R41" authorId="0">
      <text>
        <r>
          <rPr>
            <b/>
            <sz val="8"/>
            <color indexed="81"/>
            <rFont val="Tahoma"/>
            <family val="2"/>
          </rPr>
          <t xml:space="preserve">Rachael Budowle:
</t>
        </r>
        <r>
          <rPr>
            <sz val="8"/>
            <color indexed="81"/>
            <rFont val="Tahoma"/>
            <family val="2"/>
          </rPr>
          <t>includes reuse</t>
        </r>
      </text>
    </comment>
    <comment ref="H50" authorId="0">
      <text>
        <r>
          <rPr>
            <b/>
            <sz val="8"/>
            <color indexed="81"/>
            <rFont val="Tahoma"/>
            <family val="2"/>
          </rPr>
          <t>Rachael Budowle:</t>
        </r>
        <r>
          <rPr>
            <sz val="8"/>
            <color indexed="81"/>
            <rFont val="Tahoma"/>
            <family val="2"/>
          </rPr>
          <t xml:space="preserve">
Reported only; should not be double counted with numbers from scale house. Inaccurate information for a Blacksburg specific rate.</t>
        </r>
      </text>
    </comment>
    <comment ref="D51" authorId="0">
      <text>
        <r>
          <rPr>
            <b/>
            <sz val="8"/>
            <color indexed="81"/>
            <rFont val="Tahoma"/>
            <family val="2"/>
          </rPr>
          <t>Rachael Budowle:</t>
        </r>
        <r>
          <rPr>
            <sz val="8"/>
            <color indexed="81"/>
            <rFont val="Tahoma"/>
            <family val="2"/>
          </rPr>
          <t xml:space="preserve">
Includes exact number from C&amp;D and PW Roll Off--no route estimates.</t>
        </r>
      </text>
    </comment>
    <comment ref="J51" authorId="0">
      <text>
        <r>
          <rPr>
            <b/>
            <sz val="8"/>
            <color indexed="81"/>
            <rFont val="Tahoma"/>
            <family val="2"/>
          </rPr>
          <t>Rachael Budowle:</t>
        </r>
        <r>
          <rPr>
            <sz val="8"/>
            <color indexed="81"/>
            <rFont val="Tahoma"/>
            <family val="2"/>
          </rPr>
          <t xml:space="preserve">
Reported only; should not be double counted with numbers from scale house. Inaccurate information for a Blacksburg specific rate.</t>
        </r>
      </text>
    </comment>
  </commentList>
</comments>
</file>

<file path=xl/sharedStrings.xml><?xml version="1.0" encoding="utf-8"?>
<sst xmlns="http://schemas.openxmlformats.org/spreadsheetml/2006/main" count="16774" uniqueCount="2534">
  <si>
    <t>Blacksburg Emissions Inventory 2012</t>
  </si>
  <si>
    <t>Fuel Type</t>
  </si>
  <si>
    <t>Natural Gas</t>
  </si>
  <si>
    <t>Billed Volume Excl WNA (MCF)</t>
  </si>
  <si>
    <t>View</t>
  </si>
  <si>
    <t>Customer Status</t>
  </si>
  <si>
    <t>Charge Month</t>
  </si>
  <si>
    <t>Company</t>
  </si>
  <si>
    <t>GL Accounts</t>
  </si>
  <si>
    <t>Rate Code</t>
  </si>
  <si>
    <t xml:space="preserve">CALENDAR YEAR 2012 </t>
  </si>
  <si>
    <t>January</t>
  </si>
  <si>
    <t>February</t>
  </si>
  <si>
    <t>March</t>
  </si>
  <si>
    <t>April</t>
  </si>
  <si>
    <t>May</t>
  </si>
  <si>
    <t>June</t>
  </si>
  <si>
    <t>July</t>
  </si>
  <si>
    <t>August</t>
  </si>
  <si>
    <t>September</t>
  </si>
  <si>
    <t>October</t>
  </si>
  <si>
    <t>November</t>
  </si>
  <si>
    <t>December</t>
  </si>
  <si>
    <t>Fiscal 2012</t>
  </si>
  <si>
    <t>Fiscal 2013</t>
  </si>
  <si>
    <t>RESIDENTIAL GAS CUSTOMERS</t>
  </si>
  <si>
    <t>ABINGDON, VA (ABI), VA (50)</t>
  </si>
  <si>
    <t>ATKINS, VA (MRN), VA (50)</t>
  </si>
  <si>
    <t>BLACKSBURG, VA (BLA), VA (50)</t>
  </si>
  <si>
    <t>BRISTOL, VA (BRV), VA (50)</t>
  </si>
  <si>
    <t>CHILHOWIE, VA (MRN), VA (50)</t>
  </si>
  <si>
    <t>CHRISTIANSBURG, VA (BLA), VA (50)</t>
  </si>
  <si>
    <t>DUBLIN, VA (PUL), VA (50)</t>
  </si>
  <si>
    <t>EMORY, VA (ABI), VA (50)</t>
  </si>
  <si>
    <t>FAIRLAWN, VA (PUL), VA (50)</t>
  </si>
  <si>
    <t>GLADE SPRING, VA (MRN), VA (50)</t>
  </si>
  <si>
    <t>MARION, VA (MRN), VA (50)</t>
  </si>
  <si>
    <t>MEADOWVIEW, VA (ABI), VA (50)</t>
  </si>
  <si>
    <t>PULASKI, VA (PUL), VA (50)</t>
  </si>
  <si>
    <t>RADFORD, VA (RAD), VA (50)</t>
  </si>
  <si>
    <t>RURAL RETREAT, VA (WYT), VA (50)</t>
  </si>
  <si>
    <t>WYTHEVILLE, VA (WYT), VA (50)</t>
  </si>
  <si>
    <t>VA</t>
  </si>
  <si>
    <t>COMMERCIAL GAS CUSTOMERS</t>
  </si>
  <si>
    <t>INDUSTRIAL GAS CUSTOMERS</t>
  </si>
  <si>
    <t>0</t>
  </si>
  <si>
    <t>PUBLIC AUTHORITY GAS CUSTOMERS</t>
  </si>
  <si>
    <t>TRANSPORTATION CUSTOMERS</t>
  </si>
  <si>
    <t>OTHER CUSTOMERS</t>
  </si>
  <si>
    <t>Customer Class</t>
  </si>
  <si>
    <t>Total</t>
  </si>
  <si>
    <t>MMBtu</t>
  </si>
  <si>
    <t>Source:</t>
  </si>
  <si>
    <t>http://www.eia.gov/totalenergy/data/annual/pdf/aer.pdf</t>
  </si>
  <si>
    <t>Sector</t>
  </si>
  <si>
    <t>Residential</t>
  </si>
  <si>
    <t>Commercial</t>
  </si>
  <si>
    <t>Industrial</t>
  </si>
  <si>
    <t>Accounting Technique</t>
  </si>
  <si>
    <t>BE.1.1</t>
  </si>
  <si>
    <t>BE.1.2</t>
  </si>
  <si>
    <t>Subject</t>
  </si>
  <si>
    <t>Blacksburg town, Virginia</t>
  </si>
  <si>
    <t>Estimate</t>
  </si>
  <si>
    <t>Margin of Error</t>
  </si>
  <si>
    <t>Percent</t>
  </si>
  <si>
    <t>Percent Margin of Error</t>
  </si>
  <si>
    <t>HOUSING OCCUPANCY</t>
  </si>
  <si>
    <t/>
  </si>
  <si>
    <t xml:space="preserve">    Total housing units</t>
  </si>
  <si>
    <t>14,817</t>
  </si>
  <si>
    <t>+/-643</t>
  </si>
  <si>
    <t>(X)</t>
  </si>
  <si>
    <t xml:space="preserve">  Occupied housing units</t>
  </si>
  <si>
    <t>13,439</t>
  </si>
  <si>
    <t>+/-736</t>
  </si>
  <si>
    <t>90.7%</t>
  </si>
  <si>
    <t>+/-2.1</t>
  </si>
  <si>
    <t xml:space="preserve">  Vacant housing units</t>
  </si>
  <si>
    <t>1,378</t>
  </si>
  <si>
    <t>+/-300</t>
  </si>
  <si>
    <t>9.3%</t>
  </si>
  <si>
    <t xml:space="preserve">  Homeowner vacancy rate</t>
  </si>
  <si>
    <t>0.4</t>
  </si>
  <si>
    <t>+/-0.6</t>
  </si>
  <si>
    <t xml:space="preserve">  Rental vacancy rate</t>
  </si>
  <si>
    <t>1.3</t>
  </si>
  <si>
    <t>+/-1.0</t>
  </si>
  <si>
    <t>UNITS IN STRUCTURE</t>
  </si>
  <si>
    <t xml:space="preserve">  1-unit, detached</t>
  </si>
  <si>
    <t>4,427</t>
  </si>
  <si>
    <t>+/-305</t>
  </si>
  <si>
    <t>29.9%</t>
  </si>
  <si>
    <t>+/-1.8</t>
  </si>
  <si>
    <t xml:space="preserve">  1-unit, attached</t>
  </si>
  <si>
    <t>2,006</t>
  </si>
  <si>
    <t>+/-275</t>
  </si>
  <si>
    <t>13.5%</t>
  </si>
  <si>
    <t xml:space="preserve">  2 units</t>
  </si>
  <si>
    <t>308</t>
  </si>
  <si>
    <t>+/-141</t>
  </si>
  <si>
    <t>2.1%</t>
  </si>
  <si>
    <t xml:space="preserve">  3 or 4 units</t>
  </si>
  <si>
    <t>+/-216</t>
  </si>
  <si>
    <t>4.2%</t>
  </si>
  <si>
    <t>+/-1.4</t>
  </si>
  <si>
    <t xml:space="preserve">  5 to 9 units</t>
  </si>
  <si>
    <t>+/-311</t>
  </si>
  <si>
    <t>11.6%</t>
  </si>
  <si>
    <t>+/-2.0</t>
  </si>
  <si>
    <t xml:space="preserve">  10 to 19 units</t>
  </si>
  <si>
    <t>+/-489</t>
  </si>
  <si>
    <t>31.5%</t>
  </si>
  <si>
    <t>+/-2.7</t>
  </si>
  <si>
    <t xml:space="preserve">  20 or more units</t>
  </si>
  <si>
    <t>+/-196</t>
  </si>
  <si>
    <t>5.1%</t>
  </si>
  <si>
    <t>+/-1.3</t>
  </si>
  <si>
    <t xml:space="preserve">  Mobile home</t>
  </si>
  <si>
    <t>282</t>
  </si>
  <si>
    <t>+/-129</t>
  </si>
  <si>
    <t>1.9%</t>
  </si>
  <si>
    <t>+/-0.9</t>
  </si>
  <si>
    <t xml:space="preserve">  Boat, RV, van, etc.</t>
  </si>
  <si>
    <t>12</t>
  </si>
  <si>
    <t>+/-19</t>
  </si>
  <si>
    <t>0.1%</t>
  </si>
  <si>
    <t>+/-0.1</t>
  </si>
  <si>
    <t>YEAR STRUCTURE BUILT</t>
  </si>
  <si>
    <t xml:space="preserve">  Built 2005 or later</t>
  </si>
  <si>
    <t>598</t>
  </si>
  <si>
    <t>+/-162</t>
  </si>
  <si>
    <t>4.0%</t>
  </si>
  <si>
    <t>+/-1.1</t>
  </si>
  <si>
    <t xml:space="preserve">  Built 2000 to 2004</t>
  </si>
  <si>
    <t>974</t>
  </si>
  <si>
    <t>+/-194</t>
  </si>
  <si>
    <t>6.6%</t>
  </si>
  <si>
    <t xml:space="preserve">  Built 1990 to 1999</t>
  </si>
  <si>
    <t>2,409</t>
  </si>
  <si>
    <t>+/-360</t>
  </si>
  <si>
    <t>16.3%</t>
  </si>
  <si>
    <t>+/-2.3</t>
  </si>
  <si>
    <t xml:space="preserve">  Built 1980 to 1989</t>
  </si>
  <si>
    <t>2,703</t>
  </si>
  <si>
    <t>+/-359</t>
  </si>
  <si>
    <t>18.2%</t>
  </si>
  <si>
    <t xml:space="preserve">  Built 1970 to 1979</t>
  </si>
  <si>
    <t>4,433</t>
  </si>
  <si>
    <t>+/-457</t>
  </si>
  <si>
    <t>+/-2.9</t>
  </si>
  <si>
    <t xml:space="preserve">  Built 1960 to 1969</t>
  </si>
  <si>
    <t>1,863</t>
  </si>
  <si>
    <t>+/-313</t>
  </si>
  <si>
    <t>12.6%</t>
  </si>
  <si>
    <t xml:space="preserve">  Built 1950 to 1959</t>
  </si>
  <si>
    <t>894</t>
  </si>
  <si>
    <t>+/-217</t>
  </si>
  <si>
    <t>6.0%</t>
  </si>
  <si>
    <t xml:space="preserve">  Built 1940 to 1949</t>
  </si>
  <si>
    <t>330</t>
  </si>
  <si>
    <t>+/-148</t>
  </si>
  <si>
    <t>2.2%</t>
  </si>
  <si>
    <t xml:space="preserve">  Built 1939 or earlier</t>
  </si>
  <si>
    <t>613</t>
  </si>
  <si>
    <t>+/-178</t>
  </si>
  <si>
    <t>4.1%</t>
  </si>
  <si>
    <t>+/-1.2</t>
  </si>
  <si>
    <t>ROOMS</t>
  </si>
  <si>
    <t xml:space="preserve">  1 room</t>
  </si>
  <si>
    <t>291</t>
  </si>
  <si>
    <t>+/-134</t>
  </si>
  <si>
    <t>2.0%</t>
  </si>
  <si>
    <t xml:space="preserve">  2 rooms</t>
  </si>
  <si>
    <t>279</t>
  </si>
  <si>
    <t>+/-133</t>
  </si>
  <si>
    <t xml:space="preserve">  3 rooms</t>
  </si>
  <si>
    <t>1,887</t>
  </si>
  <si>
    <t>+/-341</t>
  </si>
  <si>
    <t>12.7%</t>
  </si>
  <si>
    <t xml:space="preserve">  4 rooms</t>
  </si>
  <si>
    <t>3,261</t>
  </si>
  <si>
    <t>+/-466</t>
  </si>
  <si>
    <t>22.0%</t>
  </si>
  <si>
    <t xml:space="preserve">  5 rooms</t>
  </si>
  <si>
    <t>2,558</t>
  </si>
  <si>
    <t>+/-354</t>
  </si>
  <si>
    <t>17.3%</t>
  </si>
  <si>
    <t xml:space="preserve">  6 rooms</t>
  </si>
  <si>
    <t>2,526</t>
  </si>
  <si>
    <t>+/-383</t>
  </si>
  <si>
    <t>17.0%</t>
  </si>
  <si>
    <t xml:space="preserve">  7 rooms</t>
  </si>
  <si>
    <t>1,298</t>
  </si>
  <si>
    <t>+/-274</t>
  </si>
  <si>
    <t>8.8%</t>
  </si>
  <si>
    <t>+/-1.9</t>
  </si>
  <si>
    <t xml:space="preserve">  8 rooms</t>
  </si>
  <si>
    <t>953</t>
  </si>
  <si>
    <t>+/-174</t>
  </si>
  <si>
    <t>6.4%</t>
  </si>
  <si>
    <t xml:space="preserve">  9 rooms or more</t>
  </si>
  <si>
    <t>1,764</t>
  </si>
  <si>
    <t>+/-222</t>
  </si>
  <si>
    <t>11.9%</t>
  </si>
  <si>
    <t>+/-1.5</t>
  </si>
  <si>
    <t xml:space="preserve">  Median rooms</t>
  </si>
  <si>
    <t>5.2</t>
  </si>
  <si>
    <t>+/-0.2</t>
  </si>
  <si>
    <t>BEDROOMS</t>
  </si>
  <si>
    <t xml:space="preserve">  No bedroom</t>
  </si>
  <si>
    <t>301</t>
  </si>
  <si>
    <t xml:space="preserve">  1 bedroom</t>
  </si>
  <si>
    <t>2,008</t>
  </si>
  <si>
    <t>+/-319</t>
  </si>
  <si>
    <t>13.6%</t>
  </si>
  <si>
    <t>+/-2.2</t>
  </si>
  <si>
    <t xml:space="preserve">  2 bedrooms</t>
  </si>
  <si>
    <t>4,415</t>
  </si>
  <si>
    <t>+/-464</t>
  </si>
  <si>
    <t>29.8%</t>
  </si>
  <si>
    <t>+/-2.6</t>
  </si>
  <si>
    <t xml:space="preserve">  3 bedrooms</t>
  </si>
  <si>
    <t>4,251</t>
  </si>
  <si>
    <t>+/-456</t>
  </si>
  <si>
    <t>28.7%</t>
  </si>
  <si>
    <t>+/-2.8</t>
  </si>
  <si>
    <t xml:space="preserve">  4 bedrooms</t>
  </si>
  <si>
    <t>3,208</t>
  </si>
  <si>
    <t>+/-356</t>
  </si>
  <si>
    <t>21.7%</t>
  </si>
  <si>
    <t xml:space="preserve">  5 or more bedrooms</t>
  </si>
  <si>
    <t>634</t>
  </si>
  <si>
    <t>+/-165</t>
  </si>
  <si>
    <t>4.3%</t>
  </si>
  <si>
    <t>HOUSING TENURE</t>
  </si>
  <si>
    <t xml:space="preserve">    Occupied housing units</t>
  </si>
  <si>
    <t xml:space="preserve">  Owner-occupied</t>
  </si>
  <si>
    <t>4,286</t>
  </si>
  <si>
    <t>+/-296</t>
  </si>
  <si>
    <t>31.9%</t>
  </si>
  <si>
    <t xml:space="preserve">  Renter-occupied</t>
  </si>
  <si>
    <t>9,153</t>
  </si>
  <si>
    <t>+/-646</t>
  </si>
  <si>
    <t>68.1%</t>
  </si>
  <si>
    <t xml:space="preserve">  Average household size of owner-occupied unit</t>
  </si>
  <si>
    <t>2.51</t>
  </si>
  <si>
    <t>+/-0.10</t>
  </si>
  <si>
    <t xml:space="preserve">  Average household size of renter-occupied unit</t>
  </si>
  <si>
    <t>2.32</t>
  </si>
  <si>
    <t>+/-0.11</t>
  </si>
  <si>
    <t>YEAR HOUSEHOLDER MOVED INTO UNIT</t>
  </si>
  <si>
    <t xml:space="preserve">  Moved in 2005 or later</t>
  </si>
  <si>
    <t>9,676</t>
  </si>
  <si>
    <t>+/-727</t>
  </si>
  <si>
    <t>72.0%</t>
  </si>
  <si>
    <t xml:space="preserve">  Moved in 2000 to 2004</t>
  </si>
  <si>
    <t>1,514</t>
  </si>
  <si>
    <t>+/-273</t>
  </si>
  <si>
    <t>11.3%</t>
  </si>
  <si>
    <t xml:space="preserve">  Moved in 1990 to 1999</t>
  </si>
  <si>
    <t>1,032</t>
  </si>
  <si>
    <t>+/-220</t>
  </si>
  <si>
    <t>7.7%</t>
  </si>
  <si>
    <t>+/-1.6</t>
  </si>
  <si>
    <t xml:space="preserve">  Moved in 1980 to 1989</t>
  </si>
  <si>
    <t>537</t>
  </si>
  <si>
    <t>+/-135</t>
  </si>
  <si>
    <t xml:space="preserve">  Moved in 1970 to 1979</t>
  </si>
  <si>
    <t>+/-98</t>
  </si>
  <si>
    <t>+/-0.7</t>
  </si>
  <si>
    <t xml:space="preserve">  Moved in 1969 or earlier</t>
  </si>
  <si>
    <t>398</t>
  </si>
  <si>
    <t>+/-115</t>
  </si>
  <si>
    <t>3.0%</t>
  </si>
  <si>
    <t>+/-0.8</t>
  </si>
  <si>
    <t>VEHICLES AVAILABLE</t>
  </si>
  <si>
    <t xml:space="preserve">  No vehicles available</t>
  </si>
  <si>
    <t>861</t>
  </si>
  <si>
    <t>+/-200</t>
  </si>
  <si>
    <t xml:space="preserve">  1 vehicle available</t>
  </si>
  <si>
    <t>4,619</t>
  </si>
  <si>
    <t>+/-448</t>
  </si>
  <si>
    <t>34.4%</t>
  </si>
  <si>
    <t>+/-3.0</t>
  </si>
  <si>
    <t xml:space="preserve">  2 vehicles available</t>
  </si>
  <si>
    <t>4,679</t>
  </si>
  <si>
    <t>+/-510</t>
  </si>
  <si>
    <t>34.8%</t>
  </si>
  <si>
    <t>+/-3.2</t>
  </si>
  <si>
    <t xml:space="preserve">  3 or more vehicles available</t>
  </si>
  <si>
    <t>3,280</t>
  </si>
  <si>
    <t>+/-433</t>
  </si>
  <si>
    <t>24.4%</t>
  </si>
  <si>
    <t>HOUSE HEATING FUEL</t>
  </si>
  <si>
    <t xml:space="preserve">  Utility gas</t>
  </si>
  <si>
    <t>3,891</t>
  </si>
  <si>
    <t>+/-460</t>
  </si>
  <si>
    <t>29.0%</t>
  </si>
  <si>
    <t xml:space="preserve">  Bottled, tank, or LP gas</t>
  </si>
  <si>
    <t>165</t>
  </si>
  <si>
    <t>+/-72</t>
  </si>
  <si>
    <t>1.2%</t>
  </si>
  <si>
    <t>+/-0.5</t>
  </si>
  <si>
    <t xml:space="preserve">  Electricity</t>
  </si>
  <si>
    <t>8,694</t>
  </si>
  <si>
    <t>+/-559</t>
  </si>
  <si>
    <t>64.7%</t>
  </si>
  <si>
    <t xml:space="preserve">  Fuel oil, kerosene, etc.</t>
  </si>
  <si>
    <t>651</t>
  </si>
  <si>
    <t>+/-151</t>
  </si>
  <si>
    <t>4.8%</t>
  </si>
  <si>
    <t xml:space="preserve">  Coal or coke</t>
  </si>
  <si>
    <t>17</t>
  </si>
  <si>
    <t>+/-27</t>
  </si>
  <si>
    <t xml:space="preserve">  Wood</t>
  </si>
  <si>
    <t xml:space="preserve">  Solar energy</t>
  </si>
  <si>
    <t>+/-95</t>
  </si>
  <si>
    <t>0.0%</t>
  </si>
  <si>
    <t>+/-0.3</t>
  </si>
  <si>
    <t xml:space="preserve">  Other fuel</t>
  </si>
  <si>
    <t xml:space="preserve">  No fuel used</t>
  </si>
  <si>
    <t>9</t>
  </si>
  <si>
    <t>+/-15</t>
  </si>
  <si>
    <t>SELECTED CHARACTERISTICS</t>
  </si>
  <si>
    <t xml:space="preserve">  Lacking complete plumbing facilities</t>
  </si>
  <si>
    <t xml:space="preserve">  Lacking complete kitchen facilities</t>
  </si>
  <si>
    <t>8</t>
  </si>
  <si>
    <t>+/-14</t>
  </si>
  <si>
    <t xml:space="preserve">  No telephone service available</t>
  </si>
  <si>
    <t>502</t>
  </si>
  <si>
    <t>+/-144</t>
  </si>
  <si>
    <t>3.7%</t>
  </si>
  <si>
    <t>OCCUPANTS PER ROOM</t>
  </si>
  <si>
    <t xml:space="preserve">  1.00 or less</t>
  </si>
  <si>
    <t>13,356</t>
  </si>
  <si>
    <t>+/-723</t>
  </si>
  <si>
    <t>99.4%</t>
  </si>
  <si>
    <t xml:space="preserve">  1.01 to 1.50</t>
  </si>
  <si>
    <t>47</t>
  </si>
  <si>
    <t>+/-45</t>
  </si>
  <si>
    <t>0.3%</t>
  </si>
  <si>
    <t xml:space="preserve">  1.51 or more</t>
  </si>
  <si>
    <t>36</t>
  </si>
  <si>
    <t>+/-46</t>
  </si>
  <si>
    <t>VALUE</t>
  </si>
  <si>
    <t xml:space="preserve">    Owner-occupied units</t>
  </si>
  <si>
    <t xml:space="preserve">  Less than $50,000</t>
  </si>
  <si>
    <t>141</t>
  </si>
  <si>
    <t>+/-80</t>
  </si>
  <si>
    <t>3.3%</t>
  </si>
  <si>
    <t xml:space="preserve">  $50,000 to $99,999</t>
  </si>
  <si>
    <t>30</t>
  </si>
  <si>
    <t>+/-33</t>
  </si>
  <si>
    <t>0.7%</t>
  </si>
  <si>
    <t xml:space="preserve">  $100,000 to $149,999</t>
  </si>
  <si>
    <t>423</t>
  </si>
  <si>
    <t>+/-117</t>
  </si>
  <si>
    <t>9.9%</t>
  </si>
  <si>
    <t xml:space="preserve">  $150,000 to $199,999</t>
  </si>
  <si>
    <t>584</t>
  </si>
  <si>
    <t>+/-127</t>
  </si>
  <si>
    <t xml:space="preserve">  $200,000 to $299,999</t>
  </si>
  <si>
    <t>1,550</t>
  </si>
  <si>
    <t>+/-218</t>
  </si>
  <si>
    <t>36.2%</t>
  </si>
  <si>
    <t>+/-4.6</t>
  </si>
  <si>
    <t xml:space="preserve">  $300,000 to $499,999</t>
  </si>
  <si>
    <t>1,177</t>
  </si>
  <si>
    <t>+/-173</t>
  </si>
  <si>
    <t>27.5%</t>
  </si>
  <si>
    <t>+/-3.8</t>
  </si>
  <si>
    <t xml:space="preserve">  $500,000 to $999,999</t>
  </si>
  <si>
    <t>381</t>
  </si>
  <si>
    <t>+/-112</t>
  </si>
  <si>
    <t>8.9%</t>
  </si>
  <si>
    <t>+/-2.5</t>
  </si>
  <si>
    <t xml:space="preserve">  $1,000,000 or more</t>
  </si>
  <si>
    <t xml:space="preserve">  Median (dollars)</t>
  </si>
  <si>
    <t>256,300</t>
  </si>
  <si>
    <t>+/-12,740</t>
  </si>
  <si>
    <t>MORTGAGE STATUS</t>
  </si>
  <si>
    <t xml:space="preserve">  Housing units with a mortgage</t>
  </si>
  <si>
    <t>2,907</t>
  </si>
  <si>
    <t>+/-244</t>
  </si>
  <si>
    <t>67.8%</t>
  </si>
  <si>
    <t>+/-4.2</t>
  </si>
  <si>
    <t xml:space="preserve">  Housing units without a mortgage</t>
  </si>
  <si>
    <t>1,379</t>
  </si>
  <si>
    <t>32.2%</t>
  </si>
  <si>
    <t>SELECTED MONTHLY OWNER COSTS (SMOC)</t>
  </si>
  <si>
    <t xml:space="preserve">    Housing units with a mortgage</t>
  </si>
  <si>
    <t xml:space="preserve">  Less than $300</t>
  </si>
  <si>
    <t xml:space="preserve">  $300 to $499</t>
  </si>
  <si>
    <t>11</t>
  </si>
  <si>
    <t>+/-17</t>
  </si>
  <si>
    <t>0.4%</t>
  </si>
  <si>
    <t xml:space="preserve">  $500 to $699</t>
  </si>
  <si>
    <t>218</t>
  </si>
  <si>
    <t>+/-104</t>
  </si>
  <si>
    <t>7.5%</t>
  </si>
  <si>
    <t>+/-3.5</t>
  </si>
  <si>
    <t xml:space="preserve">  $700 to $999</t>
  </si>
  <si>
    <t>272</t>
  </si>
  <si>
    <t>+/-97</t>
  </si>
  <si>
    <t>9.4%</t>
  </si>
  <si>
    <t>+/-3.3</t>
  </si>
  <si>
    <t xml:space="preserve">  $1,000 to $1,499</t>
  </si>
  <si>
    <t>737</t>
  </si>
  <si>
    <t>+/-164</t>
  </si>
  <si>
    <t>25.4%</t>
  </si>
  <si>
    <t>+/-5.6</t>
  </si>
  <si>
    <t xml:space="preserve">  $1,500 to $1,999</t>
  </si>
  <si>
    <t>932</t>
  </si>
  <si>
    <t>+/-185</t>
  </si>
  <si>
    <t>32.1%</t>
  </si>
  <si>
    <t>+/-5.4</t>
  </si>
  <si>
    <t xml:space="preserve">  $2,000 or more</t>
  </si>
  <si>
    <t>+/-5.2</t>
  </si>
  <si>
    <t>1,611</t>
  </si>
  <si>
    <t>+/-75</t>
  </si>
  <si>
    <t xml:space="preserve">    Housing units without a mortgage</t>
  </si>
  <si>
    <t xml:space="preserve">  Less than $100</t>
  </si>
  <si>
    <t xml:space="preserve">  $100 to $199</t>
  </si>
  <si>
    <t>41</t>
  </si>
  <si>
    <t>+/-38</t>
  </si>
  <si>
    <t xml:space="preserve">  $200 to $299</t>
  </si>
  <si>
    <t>167</t>
  </si>
  <si>
    <t>+/-88</t>
  </si>
  <si>
    <t>12.1%</t>
  </si>
  <si>
    <t>+/-5.8</t>
  </si>
  <si>
    <t xml:space="preserve">  $300 to $399</t>
  </si>
  <si>
    <t>334</t>
  </si>
  <si>
    <t>+/-100</t>
  </si>
  <si>
    <t>24.2%</t>
  </si>
  <si>
    <t>+/-6.4</t>
  </si>
  <si>
    <t xml:space="preserve">  $400 or more</t>
  </si>
  <si>
    <t>837</t>
  </si>
  <si>
    <t>+/-159</t>
  </si>
  <si>
    <t>60.7%</t>
  </si>
  <si>
    <t>+/-8.2</t>
  </si>
  <si>
    <t>444</t>
  </si>
  <si>
    <t>+/-30</t>
  </si>
  <si>
    <t>SELECTED MONTHLY OWNER COSTS AS A PERCENTAGE OF HOUSEHOLD INCOME (SMOCAPI)</t>
  </si>
  <si>
    <t xml:space="preserve">    Housing units with a mortgage (excluding units where SMOCAPI cannot be computed)</t>
  </si>
  <si>
    <t xml:space="preserve">  Less than 20.0 percent</t>
  </si>
  <si>
    <t>1,224</t>
  </si>
  <si>
    <t>+/-207</t>
  </si>
  <si>
    <t>42.1%</t>
  </si>
  <si>
    <t>+/-6.0</t>
  </si>
  <si>
    <t xml:space="preserve">  20.0 to 24.9 percent</t>
  </si>
  <si>
    <t>670</t>
  </si>
  <si>
    <t>+/-163</t>
  </si>
  <si>
    <t>23.0%</t>
  </si>
  <si>
    <t xml:space="preserve">  25.0 to 29.9 percent</t>
  </si>
  <si>
    <t>335</t>
  </si>
  <si>
    <t>+/-108</t>
  </si>
  <si>
    <t>11.5%</t>
  </si>
  <si>
    <t>+/-3.6</t>
  </si>
  <si>
    <t xml:space="preserve">  30.0 to 34.9 percent</t>
  </si>
  <si>
    <t>127</t>
  </si>
  <si>
    <t>+/-66</t>
  </si>
  <si>
    <t>4.4%</t>
  </si>
  <si>
    <t xml:space="preserve">  35.0 percent or more</t>
  </si>
  <si>
    <t>551</t>
  </si>
  <si>
    <t>19.0%</t>
  </si>
  <si>
    <t>+/-4.8</t>
  </si>
  <si>
    <t xml:space="preserve">  Not computed</t>
  </si>
  <si>
    <t xml:space="preserve">    Housing unit without a mortgage (excluding units where SMOCAPI cannot be computed)</t>
  </si>
  <si>
    <t xml:space="preserve">  Less than 10.0 percent</t>
  </si>
  <si>
    <t>980</t>
  </si>
  <si>
    <t>+/-188</t>
  </si>
  <si>
    <t>71.1%</t>
  </si>
  <si>
    <t>+/-7.3</t>
  </si>
  <si>
    <t xml:space="preserve">  10.0 to 14.9 percent</t>
  </si>
  <si>
    <t>37</t>
  </si>
  <si>
    <t>2.7%</t>
  </si>
  <si>
    <t xml:space="preserve">  15.0 to 19.9 percent</t>
  </si>
  <si>
    <t>120</t>
  </si>
  <si>
    <t>+/-65</t>
  </si>
  <si>
    <t>8.7%</t>
  </si>
  <si>
    <t>+/-4.5</t>
  </si>
  <si>
    <t>20</t>
  </si>
  <si>
    <t>+/-29</t>
  </si>
  <si>
    <t>1.5%</t>
  </si>
  <si>
    <t>68</t>
  </si>
  <si>
    <t>+/-55</t>
  </si>
  <si>
    <t>4.9%</t>
  </si>
  <si>
    <t>+/-4.1</t>
  </si>
  <si>
    <t>13</t>
  </si>
  <si>
    <t>+/-20</t>
  </si>
  <si>
    <t>0.9%</t>
  </si>
  <si>
    <t>10.2%</t>
  </si>
  <si>
    <t>GROSS RENT</t>
  </si>
  <si>
    <t xml:space="preserve">    Occupied units paying rent</t>
  </si>
  <si>
    <t>9,034</t>
  </si>
  <si>
    <t>+/-645</t>
  </si>
  <si>
    <t xml:space="preserve">  Less than $200</t>
  </si>
  <si>
    <t>+/-0.4</t>
  </si>
  <si>
    <t>115</t>
  </si>
  <si>
    <t>+/-77</t>
  </si>
  <si>
    <t>1.3%</t>
  </si>
  <si>
    <t>470</t>
  </si>
  <si>
    <t>+/-130</t>
  </si>
  <si>
    <t>5.2%</t>
  </si>
  <si>
    <t xml:space="preserve">  $500 to $749</t>
  </si>
  <si>
    <t>2,970</t>
  </si>
  <si>
    <t>+/-416</t>
  </si>
  <si>
    <t>32.9%</t>
  </si>
  <si>
    <t xml:space="preserve">  $750 to $999</t>
  </si>
  <si>
    <t>2,564</t>
  </si>
  <si>
    <t>+/-399</t>
  </si>
  <si>
    <t>28.4%</t>
  </si>
  <si>
    <t>+/-3.7</t>
  </si>
  <si>
    <t>2,118</t>
  </si>
  <si>
    <t>+/-362</t>
  </si>
  <si>
    <t>23.4%</t>
  </si>
  <si>
    <t xml:space="preserve">  $1,500 or more</t>
  </si>
  <si>
    <t>797</t>
  </si>
  <si>
    <t>+/-236</t>
  </si>
  <si>
    <t>826</t>
  </si>
  <si>
    <t>+/-37</t>
  </si>
  <si>
    <t xml:space="preserve">  No rent paid</t>
  </si>
  <si>
    <t>119</t>
  </si>
  <si>
    <t>GROSS RENT AS A PERCENTAGE OF HOUSEHOLD INCOME (GRAPI)</t>
  </si>
  <si>
    <t xml:space="preserve">    Occupied units paying rent (excluding units where GRAPI cannot be computed)</t>
  </si>
  <si>
    <t>8,672</t>
  </si>
  <si>
    <t>+/-641</t>
  </si>
  <si>
    <t xml:space="preserve">  Less than 15.0 percent</t>
  </si>
  <si>
    <t>606</t>
  </si>
  <si>
    <t>+/-157</t>
  </si>
  <si>
    <t>7.0%</t>
  </si>
  <si>
    <t>+/-1.7</t>
  </si>
  <si>
    <t>771</t>
  </si>
  <si>
    <t>+/-209</t>
  </si>
  <si>
    <t>851</t>
  </si>
  <si>
    <t>+/-191</t>
  </si>
  <si>
    <t>9.8%</t>
  </si>
  <si>
    <t>479</t>
  </si>
  <si>
    <t>+/-187</t>
  </si>
  <si>
    <t>5.5%</t>
  </si>
  <si>
    <t>488</t>
  </si>
  <si>
    <t>+/-180</t>
  </si>
  <si>
    <t>5.6%</t>
  </si>
  <si>
    <t>5,477</t>
  </si>
  <si>
    <t>63.2%</t>
  </si>
  <si>
    <t>481</t>
  </si>
  <si>
    <t>DP04: SELECTED HOUSING CHARACTERISTICS</t>
  </si>
  <si>
    <t>2007-2011 American Community Survey 5-Year Estimates</t>
  </si>
  <si>
    <r>
      <rPr>
        <sz val="10"/>
        <color indexed="8"/>
        <rFont val="SansSerif"/>
      </rPr>
      <t xml:space="preserve">Supporting documentation on code lists, subject definitions, data accuracy, and statistical testing can be found on the American Community Survey website in the Data and Documentation section.
Sample size and data quality measures (including coverage rates, allocation rates, and response rates) can be found on the American Community Survey website in the Methodology section.
</t>
    </r>
  </si>
  <si>
    <r>
      <rPr>
        <sz val="10"/>
        <color indexed="8"/>
        <rFont val="SansSerif"/>
      </rPr>
      <t xml:space="preserve">Although the American Community Survey (ACS) produces population, demographic and housing unit estimates, it is the Census Bureau's Population Estimates Program that produces and disseminates the official estimates of the population for the nation, states, counties, cities and towns and estimates of housing units for states and counties.
</t>
    </r>
  </si>
  <si>
    <r>
      <rPr>
        <sz val="10"/>
        <color indexed="8"/>
        <rFont val="SansSerif"/>
      </rPr>
      <t xml:space="preserve">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Accuracy of the Data). The effect of nonsampling error is not represented in these tables.
</t>
    </r>
  </si>
  <si>
    <r>
      <rPr>
        <sz val="10"/>
        <color indexed="8"/>
        <rFont val="SansSerif"/>
      </rPr>
      <t xml:space="preserve">The median gross rent excludes no cash renters.
</t>
    </r>
  </si>
  <si>
    <r>
      <rPr>
        <sz val="10"/>
        <color indexed="8"/>
        <rFont val="SansSerif"/>
      </rPr>
      <t xml:space="preserve">In prior years, the universe included all owner-occupied units with a mortgage. It is now restricted to include only those units where SMOCAPI is computed, that is, SMOC and household income are valid values.
</t>
    </r>
  </si>
  <si>
    <r>
      <rPr>
        <sz val="10"/>
        <color indexed="8"/>
        <rFont val="SansSerif"/>
      </rPr>
      <t xml:space="preserve">In prior years, the universe included all owner-occupied units without a mortgage. It is now restricted to include only those units where SMOCAPI is computed, that is, SMOC and household income are valid values.
</t>
    </r>
  </si>
  <si>
    <r>
      <rPr>
        <sz val="10"/>
        <color indexed="8"/>
        <rFont val="SansSerif"/>
      </rPr>
      <t xml:space="preserve">In prior years, the universe included all renter-occupied units. It is now restricted to include only those units where GRAPI is computed, that is, gross rent and household Income are valid values.
</t>
    </r>
  </si>
  <si>
    <r>
      <rPr>
        <sz val="10"/>
        <color indexed="8"/>
        <rFont val="SansSerif"/>
      </rPr>
      <t xml:space="preserve">The 2007, 2008, 2009, 2010, and 2011 plumbing data for Puerto Rico will not be shown. Research indicates that the questions on plumbing facilities that were </t>
    </r>
  </si>
  <si>
    <r>
      <rPr>
        <sz val="10"/>
        <color indexed="8"/>
        <rFont val="SansSerif"/>
      </rPr>
      <t xml:space="preserve">introduced in 2008 in the stateside American Community Survey and the 2008 Puerto Rico Community Survey may not have been appropriate for Puerto Rico.
</t>
    </r>
  </si>
  <si>
    <r>
      <rPr>
        <sz val="10"/>
        <color indexed="8"/>
        <rFont val="SansSerif"/>
      </rPr>
      <t xml:space="preserve">Median calculations for base table sourcing VAL, MHC, SMOC, and TAX should exclude zero values.
</t>
    </r>
  </si>
  <si>
    <r>
      <rPr>
        <sz val="10"/>
        <color indexed="8"/>
        <rFont val="SansSerif"/>
      </rPr>
      <t xml:space="preserve">While the 2007-2011 American Community Survey (ACS) data generally reflect the December 2009 Office of Management and Budget (OMB) definitions of metropolitan and micropolitan statistical areas; in certain instances the names, codes, and boundaries of the principal cities shown in ACS tables may differ from the OMB definitions due to differences in the effective dates of the geographic entities.
</t>
    </r>
  </si>
  <si>
    <r>
      <rPr>
        <sz val="10"/>
        <color indexed="8"/>
        <rFont val="SansSerif"/>
      </rPr>
      <t xml:space="preserve">Estimates of urban and rural population, housing units, and characteristics reflect boundaries of urban areas defined based on Census 2000 data. Boundaries for urban areas have not been updated since Census 2000. As a result, data for urban and rural areas from the ACS do not necessarily reflect the results of ongoing urbanization.
</t>
    </r>
  </si>
  <si>
    <r>
      <rPr>
        <sz val="10"/>
        <color indexed="8"/>
        <rFont val="SansSerif"/>
      </rPr>
      <t xml:space="preserve">Source: U.S. Census Bureau, 2007-2011 American Community Survey
</t>
    </r>
  </si>
  <si>
    <r>
      <rPr>
        <sz val="10"/>
        <color indexed="8"/>
        <rFont val="SansSerif"/>
      </rPr>
      <t xml:space="preserve">Explanation of Symbols:
    1.  An '**' entry in the margin of error column indicates that either no sample observations or too few sample observations were available to compute a standard error and thus the margin of error. A statistical test is not appropriate.
    2.  An '-' entry in the estimate column indicates that either no sample observations or too few sample observations were available to compute an estimate, or a ratio of medians cannot be calculated because one or both of the median estimates falls in the lowest interval or upper interval of an open-ended distribution.
    3.  An '-' following a median estimate means the median falls in the lowest interval of an open-ended distribution.
    4.  An '+' following a median estimate means the median falls in the upper interval of an open-ended distribution.
    5.  An '***' entry in the margin of error column indicates that the median falls in the lowest interval or upper interval of an open-ended distribution. A statistical test is not appropriate.
    6.  An '*****' entry in the margin of error </t>
    </r>
  </si>
  <si>
    <r>
      <rPr>
        <sz val="10"/>
        <color indexed="8"/>
        <rFont val="SansSerif"/>
      </rPr>
      <t xml:space="preserve">column indicates that the estimate is controlled. A statistical test for sampling variability is not appropriate.
    7.  An 'N' entry in the estimate and margin of error columns indicates that data for this geographic area cannot be displayed because the number of sample cases is too small.
    8.  An '(X)' means that the estimate is not applicable or not available.
</t>
    </r>
  </si>
  <si>
    <t>Preliminary Release: March 28, 2011</t>
  </si>
  <si>
    <t>Final Release: April 2013</t>
  </si>
  <si>
    <t>Table HC1.10  Fuels Used and End Uses in Homes in South Region, Divisions, and States, 2009</t>
  </si>
  <si>
    <t xml:space="preserve">                                  Million Housing Units, Final</t>
  </si>
  <si>
    <t>South Census Region</t>
  </si>
  <si>
    <t>South Atlantic 
Census Division</t>
  </si>
  <si>
    <t>East South Central 
Census Division</t>
  </si>
  <si>
    <t>West South Central 
Census Division</t>
  </si>
  <si>
    <t>Total 
East 
South Central</t>
  </si>
  <si>
    <t>Total 
West South Central</t>
  </si>
  <si>
    <r>
      <t>Total 
U.S.</t>
    </r>
    <r>
      <rPr>
        <vertAlign val="superscript"/>
        <sz val="10"/>
        <rFont val="Arial"/>
        <family val="2"/>
      </rPr>
      <t>1</t>
    </r>
    <r>
      <rPr>
        <b/>
        <sz val="8"/>
        <rFont val="Arial"/>
        <family val="2"/>
      </rPr>
      <t xml:space="preserve"> (millions)</t>
    </r>
  </si>
  <si>
    <t>Total 
South Atlantic</t>
  </si>
  <si>
    <t>Total 
South</t>
  </si>
  <si>
    <t>DC, DE, MD, WV</t>
  </si>
  <si>
    <t>AL, 
KY, MS</t>
  </si>
  <si>
    <t>AR, 
LA, OK</t>
  </si>
  <si>
    <t>Fuels Used and End Uses</t>
  </si>
  <si>
    <t>GA</t>
  </si>
  <si>
    <t>FL</t>
  </si>
  <si>
    <t>NC, SC</t>
  </si>
  <si>
    <t>TN</t>
  </si>
  <si>
    <t>TX</t>
  </si>
  <si>
    <t>Total Homes</t>
  </si>
  <si>
    <t>Fuels Used for Any Use</t>
  </si>
  <si>
    <t>Electricity</t>
  </si>
  <si>
    <t>Propane/LPG</t>
  </si>
  <si>
    <t>Wood</t>
  </si>
  <si>
    <t>Fuel Oil</t>
  </si>
  <si>
    <t>Q</t>
  </si>
  <si>
    <t>N</t>
  </si>
  <si>
    <t>Kerosene</t>
  </si>
  <si>
    <t>Solar</t>
  </si>
  <si>
    <r>
      <t>Electricity End Uses</t>
    </r>
    <r>
      <rPr>
        <vertAlign val="superscript"/>
        <sz val="10"/>
        <rFont val="Arial"/>
        <family val="2"/>
      </rPr>
      <t>2</t>
    </r>
  </si>
  <si>
    <t>(more than one may apply)</t>
  </si>
  <si>
    <t>Space Heating</t>
  </si>
  <si>
    <t>Main</t>
  </si>
  <si>
    <t>Secondary</t>
  </si>
  <si>
    <t>Air Conditioning</t>
  </si>
  <si>
    <t>Water Heating</t>
  </si>
  <si>
    <t>Cooking</t>
  </si>
  <si>
    <t>Other</t>
  </si>
  <si>
    <r>
      <t>Natural Gas End Uses</t>
    </r>
    <r>
      <rPr>
        <vertAlign val="superscript"/>
        <sz val="10"/>
        <rFont val="Arial"/>
        <family val="2"/>
      </rPr>
      <t>2,3</t>
    </r>
  </si>
  <si>
    <r>
      <t>Propane/LPG End Uses</t>
    </r>
    <r>
      <rPr>
        <vertAlign val="superscript"/>
        <sz val="10"/>
        <rFont val="Arial"/>
        <family val="2"/>
      </rPr>
      <t>2,3</t>
    </r>
  </si>
  <si>
    <r>
      <t>Wood End Uses</t>
    </r>
    <r>
      <rPr>
        <vertAlign val="superscript"/>
        <sz val="10"/>
        <rFont val="Arial"/>
        <family val="2"/>
      </rPr>
      <t>2</t>
    </r>
  </si>
  <si>
    <r>
      <t>Fuel Oil End Uses</t>
    </r>
    <r>
      <rPr>
        <vertAlign val="superscript"/>
        <sz val="10"/>
        <rFont val="Arial"/>
        <family val="2"/>
      </rPr>
      <t>2</t>
    </r>
  </si>
  <si>
    <r>
      <t>Kerosene End Uses</t>
    </r>
    <r>
      <rPr>
        <vertAlign val="superscript"/>
        <sz val="10"/>
        <rFont val="Arial"/>
        <family val="2"/>
      </rPr>
      <t>2</t>
    </r>
  </si>
  <si>
    <r>
      <t xml:space="preserve">     </t>
    </r>
    <r>
      <rPr>
        <vertAlign val="superscript"/>
        <sz val="10"/>
        <rFont val="Arial"/>
        <family val="2"/>
      </rPr>
      <t>1</t>
    </r>
    <r>
      <rPr>
        <sz val="8"/>
        <rFont val="Arial"/>
        <family val="2"/>
      </rPr>
      <t xml:space="preserve">Total U.S. includes all primary occupied housing units in the 50 States and the District of Columbia. Vacant housing units, seasonal units, second homes, military housing, and group quarters are excluded.
     </t>
    </r>
    <r>
      <rPr>
        <vertAlign val="superscript"/>
        <sz val="10"/>
        <rFont val="Arial"/>
        <family val="2"/>
      </rPr>
      <t>2</t>
    </r>
    <r>
      <rPr>
        <sz val="8"/>
        <rFont val="Arial"/>
        <family val="2"/>
      </rPr>
      <t xml:space="preserve">Cooking includes fuels used by the major cooking equipment (ovens, cooktops, and stoves). Other includes all end uses not specificially listed.
     </t>
    </r>
    <r>
      <rPr>
        <vertAlign val="superscript"/>
        <sz val="10"/>
        <rFont val="Arial"/>
        <family val="2"/>
      </rPr>
      <t>3</t>
    </r>
    <r>
      <rPr>
        <sz val="8"/>
        <rFont val="Arial"/>
        <family val="2"/>
      </rPr>
      <t>For natural gas and propane/LPG, Other includes housing units with outdoor grills that use these fuels. However, Consumption and Expenditures estimates only include natural gas outdoor grills, not those using propane/LPG.
     Q = Data withheld either because the Relative Standard Error (RSE) was greater than 50 percent or fewer than 10 households were sampled.
     N = No cases in reporting sample.
     Notes:  ● Because of rounding, data may not sum to totals.  ● See Glossary for definition of terms used in these tables.
     Source:  U.S. Energy Information Administration, Office of Energy Consumption and Efficiency Statistics, Forms EIA-457 A and C of the 2009 Residential Energy Consumption Survey.</t>
    </r>
  </si>
  <si>
    <t>State</t>
  </si>
  <si>
    <t>Coal</t>
  </si>
  <si>
    <t>Geothermal</t>
  </si>
  <si>
    <t>Alabama</t>
  </si>
  <si>
    <t>Alaska</t>
  </si>
  <si>
    <t>(s)</t>
  </si>
  <si>
    <t>Arizona</t>
  </si>
  <si>
    <t>Arkansas</t>
  </si>
  <si>
    <t>California</t>
  </si>
  <si>
    <t>Colorado</t>
  </si>
  <si>
    <t>Connecticut</t>
  </si>
  <si>
    <t>Delaware</t>
  </si>
  <si>
    <t>Dist. of Col.</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</si>
  <si>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</si>
  <si>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</si>
  <si>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</si>
  <si>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</si>
  <si>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</si>
  <si>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</si>
  <si>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</si>
  <si>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</si>
  <si>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</si>
  <si>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</si>
  <si>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</si>
  <si>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</si>
  <si>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</si>
  <si>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</si>
  <si>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</si>
  <si>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</si>
  <si>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</si>
  <si>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</si>
  <si>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</si>
  <si>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</si>
  <si>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</si>
  <si>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</si>
  <si>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</si>
  <si>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</si>
  <si>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</si>
  <si>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</si>
  <si>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</si>
  <si>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</si>
  <si>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</si>
  <si>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</si>
  <si>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</si>
  <si>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</si>
  <si>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</si>
  <si>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</si>
  <si>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</si>
  <si>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</si>
  <si>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</si>
  <si>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</si>
  <si>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</si>
  <si>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</si>
  <si>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</si>
  <si>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</si>
  <si>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United States</t>
  </si>
  <si>
    <t>aNatural gas as it is consumed; includes supplemental gaseous fuels that are commingled with natural gas.</t>
  </si>
  <si>
    <t>fIncurred in the generation, transmission, and distribution of electricity plus plant use and unaccounted for electrical system energy losses.</t>
  </si>
  <si>
    <t>bLiquefied petroleum gases.</t>
  </si>
  <si>
    <t>Where shown, (s) = Value less than 0.05 trillion Btu.</t>
  </si>
  <si>
    <t>cWood and wood-derived fuels.</t>
  </si>
  <si>
    <t>Note: Totals may not equal sum of components due to independent rounding.</t>
  </si>
  <si>
    <t>dSolar thermal and photovoltaic energy. Includes small amounts consumed by the commercial sector.</t>
  </si>
  <si>
    <t>Web Page: All data are available at http://www.eia.gov/state/seds/seds-data-complete.cfm.</t>
  </si>
  <si>
    <t>eAdjusted for the double-counting of supplemental gaseous fuels, which are included in both natural gas and the other fossil fuels from which they are mostly derived, but should be counted only once in net energy and total.</t>
  </si>
  <si>
    <t>Sources: Data sources, estimation procedures, and assumptions are described in the Technical Notes.</t>
  </si>
  <si>
    <t>Distillate Fuel Oil</t>
  </si>
  <si>
    <t>LPG</t>
  </si>
  <si>
    <t>Solar/PV</t>
  </si>
  <si>
    <t>Net Energy</t>
  </si>
  <si>
    <t>Electrical System Energy Losses</t>
  </si>
  <si>
    <t>Retail Electricity Sales</t>
  </si>
  <si>
    <t>Table C5. Residential Sector Energy Consumption Estimates, 2010</t>
  </si>
  <si>
    <t>(Trillion Btu)</t>
  </si>
  <si>
    <t>Fuel Oil, Kerosene, etc.</t>
  </si>
  <si>
    <t>Bottled, tank, or LP gas</t>
  </si>
  <si>
    <t>Number of Households (Statewide)</t>
  </si>
  <si>
    <t>Households</t>
  </si>
  <si>
    <t>MMBtu/Household</t>
  </si>
  <si>
    <t>Number of Households</t>
  </si>
  <si>
    <t>Energy Quantity (Statewide)</t>
  </si>
  <si>
    <t>Energy Quantity per Household</t>
  </si>
  <si>
    <t>Built Environment - Emissions from Stationary Combustion</t>
  </si>
  <si>
    <t>Built Environment - Emissions from Electricity Use</t>
  </si>
  <si>
    <t>Quantity (Mcf)</t>
  </si>
  <si>
    <t>Energy Quantity (MMBtu)</t>
  </si>
  <si>
    <t>Utility</t>
  </si>
  <si>
    <t>APCO</t>
  </si>
  <si>
    <t>BE.2.1</t>
  </si>
  <si>
    <t>Quantity (kWh)</t>
  </si>
  <si>
    <t>Tax District</t>
  </si>
  <si>
    <t>Blacksburg</t>
  </si>
  <si>
    <t>Sum of KWH'S</t>
  </si>
  <si>
    <t>REVN_YEAR_MNTH_DT</t>
  </si>
  <si>
    <t>Account Class</t>
  </si>
  <si>
    <t>Grand Total</t>
  </si>
  <si>
    <t>Commercial - Other Than Schools</t>
  </si>
  <si>
    <t>Public Authority - Other Than Schools</t>
  </si>
  <si>
    <t>Public Authority - Schools</t>
  </si>
  <si>
    <t>Public Street &amp; Highway Lighting</t>
  </si>
  <si>
    <t>Sum of KWH</t>
  </si>
  <si>
    <t>Emissions</t>
  </si>
  <si>
    <t>CO2 (lbs/MWh)</t>
  </si>
  <si>
    <t>SO2 (lbs/MWh)</t>
  </si>
  <si>
    <t>NOx (lbs/MWh)</t>
  </si>
  <si>
    <t>Source: Appalachian Electric Power</t>
  </si>
  <si>
    <t>VTES</t>
  </si>
  <si>
    <t>Category</t>
  </si>
  <si>
    <t>Count</t>
  </si>
  <si>
    <t>Billed_kwh</t>
  </si>
  <si>
    <t>Billed_kw</t>
  </si>
  <si>
    <t>AC</t>
  </si>
  <si>
    <t>AUX-CNS</t>
  </si>
  <si>
    <t>AD</t>
  </si>
  <si>
    <t>AUX-DINING</t>
  </si>
  <si>
    <t>AP</t>
  </si>
  <si>
    <t>AUX-PARKING</t>
  </si>
  <si>
    <t>AR</t>
  </si>
  <si>
    <t>AUX-DORM(resident)</t>
  </si>
  <si>
    <t>AT</t>
  </si>
  <si>
    <t>AUX-ATHLETICS</t>
  </si>
  <si>
    <t>AX</t>
  </si>
  <si>
    <t>AUX (ALL OTHER)</t>
  </si>
  <si>
    <t>Campus Aux</t>
  </si>
  <si>
    <t>VE</t>
  </si>
  <si>
    <t>VT-CAMPUS E&amp;G</t>
  </si>
  <si>
    <t>VP</t>
  </si>
  <si>
    <t>VT POWER PLANT</t>
  </si>
  <si>
    <t>Campus EG</t>
  </si>
  <si>
    <t>CF</t>
  </si>
  <si>
    <t>COMMER-VT FACILITIES</t>
  </si>
  <si>
    <t>CL</t>
  </si>
  <si>
    <t>COMMERCIAL-LARGE</t>
  </si>
  <si>
    <t>CM</t>
  </si>
  <si>
    <t>COMMERCIAL-MEDIUM</t>
  </si>
  <si>
    <t>CR</t>
  </si>
  <si>
    <t>COMMER-CORP RESCH PK</t>
  </si>
  <si>
    <t>CS</t>
  </si>
  <si>
    <t>COMMERCIAL-SMALL</t>
  </si>
  <si>
    <t>DD</t>
  </si>
  <si>
    <t>DUSK / DAWN LIGHTS</t>
  </si>
  <si>
    <t>IN</t>
  </si>
  <si>
    <t>INDUSTRIAL</t>
  </si>
  <si>
    <t>PA</t>
  </si>
  <si>
    <t>PA-ALL OTHER</t>
  </si>
  <si>
    <t>PM</t>
  </si>
  <si>
    <t>PA-PUMPING</t>
  </si>
  <si>
    <t>PS</t>
  </si>
  <si>
    <t>PA-SCHOOLS</t>
  </si>
  <si>
    <t>ST</t>
  </si>
  <si>
    <t>STATE</t>
  </si>
  <si>
    <t>TL</t>
  </si>
  <si>
    <t>TOWN LIGHTS</t>
  </si>
  <si>
    <t>RC</t>
  </si>
  <si>
    <t>RESIDENTIAL-COUNTY</t>
  </si>
  <si>
    <t>Resdential County</t>
  </si>
  <si>
    <t>RT</t>
  </si>
  <si>
    <t>RESIDENTIAL-TOWN</t>
  </si>
  <si>
    <t>Residential Town</t>
  </si>
  <si>
    <t>Grand Totals</t>
  </si>
  <si>
    <t>Water</t>
  </si>
  <si>
    <t>Government</t>
  </si>
  <si>
    <t>ATMOS Natural Gas</t>
  </si>
  <si>
    <r>
      <t>CO</t>
    </r>
    <r>
      <rPr>
        <b/>
        <vertAlign val="subscript"/>
        <sz val="11"/>
        <color theme="1"/>
        <rFont val="Calibri"/>
        <family val="2"/>
        <scheme val="minor"/>
      </rPr>
      <t xml:space="preserve">2 </t>
    </r>
    <r>
      <rPr>
        <b/>
        <sz val="11"/>
        <color theme="1"/>
        <rFont val="Calibri"/>
        <family val="2"/>
        <scheme val="minor"/>
      </rPr>
      <t>Emissions</t>
    </r>
  </si>
  <si>
    <r>
      <t>CH</t>
    </r>
    <r>
      <rPr>
        <b/>
        <vertAlign val="subscript"/>
        <sz val="11"/>
        <color theme="1"/>
        <rFont val="Calibri"/>
        <family val="2"/>
        <scheme val="minor"/>
      </rPr>
      <t xml:space="preserve">4 </t>
    </r>
    <r>
      <rPr>
        <b/>
        <sz val="11"/>
        <color theme="1"/>
        <rFont val="Calibri"/>
        <family val="2"/>
        <scheme val="minor"/>
      </rPr>
      <t>Emissions</t>
    </r>
  </si>
  <si>
    <r>
      <t>N</t>
    </r>
    <r>
      <rPr>
        <b/>
        <vertAlign val="subscript"/>
        <sz val="11"/>
        <color theme="1"/>
        <rFont val="Calibri"/>
        <family val="2"/>
        <scheme val="minor"/>
      </rPr>
      <t>2</t>
    </r>
    <r>
      <rPr>
        <b/>
        <sz val="11"/>
        <color theme="1"/>
        <rFont val="Calibri"/>
        <family val="2"/>
        <scheme val="minor"/>
      </rPr>
      <t>0 Emissions</t>
    </r>
  </si>
  <si>
    <t>Coefficient (kg/MMBtu)</t>
  </si>
  <si>
    <t>Quantity (kg)</t>
  </si>
  <si>
    <t>Total CO2 Equivalent Emissions (kg)</t>
  </si>
  <si>
    <t>CO2 Equivalent (kg)</t>
  </si>
  <si>
    <t>TR.1.B</t>
  </si>
  <si>
    <t>Transportation</t>
  </si>
  <si>
    <t>Vehicle Class</t>
  </si>
  <si>
    <t>Transportation and Other Mobile</t>
  </si>
  <si>
    <t>Table 4-23:  Average Fuel Efficiency of U.S. Light Duty Vehicles</t>
  </si>
  <si>
    <t>Average U.S. light duty vehicle fuel efficiency (mpg) (calendar year)</t>
  </si>
  <si>
    <r>
      <t>Light duty vehicle, short wheel base</t>
    </r>
    <r>
      <rPr>
        <vertAlign val="superscript"/>
        <sz val="11"/>
        <rFont val="Arial Narrow"/>
        <family val="2"/>
      </rPr>
      <t>a,b</t>
    </r>
  </si>
  <si>
    <t>U</t>
  </si>
  <si>
    <r>
      <t>Light duty vehicle, long wheel base</t>
    </r>
    <r>
      <rPr>
        <vertAlign val="superscript"/>
        <sz val="11"/>
        <rFont val="Arial Narrow"/>
        <family val="2"/>
      </rPr>
      <t>a</t>
    </r>
  </si>
  <si>
    <r>
      <t>New vehicle fuel efficiency (mpg)</t>
    </r>
    <r>
      <rPr>
        <b/>
        <vertAlign val="superscript"/>
        <sz val="11"/>
        <rFont val="Arial Narrow"/>
        <family val="2"/>
      </rPr>
      <t>c</t>
    </r>
    <r>
      <rPr>
        <b/>
        <sz val="11"/>
        <rFont val="Arial Narrow"/>
        <family val="2"/>
      </rPr>
      <t xml:space="preserve"> (model year)</t>
    </r>
  </si>
  <si>
    <t>Light-duty vehicle</t>
  </si>
  <si>
    <t>Passenger car</t>
  </si>
  <si>
    <t>Domestic</t>
  </si>
  <si>
    <t>Imported</t>
  </si>
  <si>
    <r>
      <t>Light truck (&lt;8,500 lbs GVWR)</t>
    </r>
    <r>
      <rPr>
        <vertAlign val="superscript"/>
        <sz val="11"/>
        <rFont val="Arial Narrow"/>
        <family val="2"/>
      </rPr>
      <t>d</t>
    </r>
  </si>
  <si>
    <r>
      <t>CAFE standards (mpg)</t>
    </r>
    <r>
      <rPr>
        <b/>
        <vertAlign val="superscript"/>
        <sz val="11"/>
        <rFont val="Arial Narrow"/>
        <family val="2"/>
      </rPr>
      <t>c</t>
    </r>
    <r>
      <rPr>
        <b/>
        <sz val="11"/>
        <rFont val="Arial Narrow"/>
        <family val="2"/>
      </rPr>
      <t xml:space="preserve"> (model year)</t>
    </r>
  </si>
  <si>
    <r>
      <t>Light truck</t>
    </r>
    <r>
      <rPr>
        <vertAlign val="superscript"/>
        <sz val="11"/>
        <rFont val="Arial Narrow"/>
        <family val="2"/>
      </rPr>
      <t>e</t>
    </r>
  </si>
  <si>
    <r>
      <t xml:space="preserve">KEY: </t>
    </r>
    <r>
      <rPr>
        <sz val="9"/>
        <rFont val="Arial"/>
        <family val="2"/>
      </rPr>
      <t>CAFE = Corporate Average Fuel Economy; GVWR = gross vehicle weight rating; mpg = miles per gallon; R = revised; U = data are unavailable.</t>
    </r>
  </si>
  <si>
    <r>
      <rPr>
        <vertAlign val="superscript"/>
        <sz val="10"/>
        <rFont val="Arial"/>
        <family val="2"/>
      </rPr>
      <t xml:space="preserve">a </t>
    </r>
    <r>
      <rPr>
        <sz val="10"/>
        <rFont val="Arial"/>
        <family val="2"/>
      </rPr>
      <t xml:space="preserve">1960-2006 data are for </t>
    </r>
    <r>
      <rPr>
        <i/>
        <sz val="10"/>
        <rFont val="Arial"/>
        <family val="2"/>
      </rPr>
      <t>Passenger car</t>
    </r>
    <r>
      <rPr>
        <sz val="10"/>
        <rFont val="Arial"/>
        <family val="2"/>
      </rPr>
      <t xml:space="preserve"> and </t>
    </r>
    <r>
      <rPr>
        <i/>
        <sz val="10"/>
        <rFont val="Arial"/>
        <family val="2"/>
      </rPr>
      <t>Other 2-axle, 4-tire vehicles</t>
    </r>
    <r>
      <rPr>
        <sz val="10"/>
        <rFont val="Arial"/>
        <family val="2"/>
      </rPr>
      <t>, respectively. The data from 1960-2006 are not comparable to the data from 2007-10.</t>
    </r>
  </si>
  <si>
    <r>
      <t>b</t>
    </r>
    <r>
      <rPr>
        <sz val="9"/>
        <rFont val="Arial"/>
        <family val="2"/>
      </rPr>
      <t xml:space="preserve"> From 1980 to 1994, </t>
    </r>
    <r>
      <rPr>
        <i/>
        <sz val="9"/>
        <rFont val="Arial"/>
        <family val="2"/>
      </rPr>
      <t>Light duty vehicle, short wheel base</t>
    </r>
    <r>
      <rPr>
        <sz val="9"/>
        <rFont val="Arial"/>
        <family val="2"/>
      </rPr>
      <t xml:space="preserve"> (previously </t>
    </r>
    <r>
      <rPr>
        <i/>
        <sz val="9"/>
        <rFont val="Arial"/>
        <family val="2"/>
      </rPr>
      <t>Passenger car</t>
    </r>
    <r>
      <rPr>
        <sz val="9"/>
        <rFont val="Arial"/>
        <family val="2"/>
      </rPr>
      <t>) fuel efficiency includes motorcycles.</t>
    </r>
  </si>
  <si>
    <r>
      <t xml:space="preserve">c </t>
    </r>
    <r>
      <rPr>
        <sz val="9"/>
        <rFont val="Arial"/>
        <family val="2"/>
      </rPr>
      <t xml:space="preserve">Assumes 55% city and 45% highway-miles. The source calculated average miles per gallon for light-duty vehicles by taking the reciprocal of the sales-weighted average of gallons per mile. This is called the harmonic average. </t>
    </r>
  </si>
  <si>
    <r>
      <t xml:space="preserve">d </t>
    </r>
    <r>
      <rPr>
        <sz val="9"/>
        <rFont val="Arial"/>
        <family val="2"/>
      </rPr>
      <t xml:space="preserve">Beginning with FY 1999, the total </t>
    </r>
    <r>
      <rPr>
        <i/>
        <sz val="9"/>
        <rFont val="Arial"/>
        <family val="2"/>
      </rPr>
      <t>Light truck</t>
    </r>
    <r>
      <rPr>
        <sz val="9"/>
        <rFont val="Arial"/>
        <family val="2"/>
      </rPr>
      <t xml:space="preserve"> fleet ceased to be categorized by either domestic or import fleets.</t>
    </r>
  </si>
  <si>
    <r>
      <t>e</t>
    </r>
    <r>
      <rPr>
        <sz val="9"/>
        <rFont val="Arial"/>
        <family val="2"/>
      </rPr>
      <t xml:space="preserve"> No combined figure is available for 1980. In 1980, CAFE standard for 2 wheel drive, and 4 wheel drive light trucks were 16.0, and 14.0 mpg respectively. </t>
    </r>
  </si>
  <si>
    <t>NOTES</t>
  </si>
  <si>
    <r>
      <t xml:space="preserve">Data for 2007-10 were calculated using a new methodology developed by FHWA. Data for these years are based on new categories and are not comparable to previous years. The new category </t>
    </r>
    <r>
      <rPr>
        <i/>
        <sz val="9"/>
        <rFont val="Arial"/>
        <family val="2"/>
      </rPr>
      <t>Light duty vehicle, short wheel</t>
    </r>
    <r>
      <rPr>
        <sz val="9"/>
        <rFont val="Arial"/>
        <family val="2"/>
      </rPr>
      <t xml:space="preserve"> base includes passenger cars, light trucks, vans and sport utility vehicles with a wheelbase (WB) equal to or less than 121 inches. The new category </t>
    </r>
    <r>
      <rPr>
        <i/>
        <sz val="9"/>
        <rFont val="Arial"/>
        <family val="2"/>
      </rPr>
      <t>Light duty vehicle, long wheel base</t>
    </r>
    <r>
      <rPr>
        <sz val="9"/>
        <rFont val="Arial"/>
        <family val="2"/>
      </rPr>
      <t xml:space="preserve"> includes large passenger cars, vans, pickup trucks, and sport/utility vehicles with wheelbases (WB) larger than 121 inches. </t>
    </r>
  </si>
  <si>
    <r>
      <t xml:space="preserve">The fuel efficiency figures for </t>
    </r>
    <r>
      <rPr>
        <i/>
        <sz val="9"/>
        <rFont val="Arial"/>
        <family val="2"/>
      </rPr>
      <t>Light duty vehicles</t>
    </r>
    <r>
      <rPr>
        <sz val="9"/>
        <rFont val="Arial"/>
        <family val="2"/>
      </rPr>
      <t xml:space="preserve"> represent the sales-weighted harmonic average of the combined</t>
    </r>
    <r>
      <rPr>
        <i/>
        <sz val="9"/>
        <rFont val="Arial"/>
        <family val="2"/>
      </rPr>
      <t xml:space="preserve"> Passenger car</t>
    </r>
    <r>
      <rPr>
        <sz val="9"/>
        <rFont val="Arial"/>
        <family val="2"/>
      </rPr>
      <t xml:space="preserve"> and </t>
    </r>
    <r>
      <rPr>
        <i/>
        <sz val="9"/>
        <rFont val="Arial"/>
        <family val="2"/>
      </rPr>
      <t>Light truck</t>
    </r>
    <r>
      <rPr>
        <sz val="9"/>
        <rFont val="Arial"/>
        <family val="2"/>
      </rPr>
      <t xml:space="preserve"> fuel economies.</t>
    </r>
  </si>
  <si>
    <t>SOURCES</t>
  </si>
  <si>
    <t>Average U.S. light duty vehicle fuel efficiency:</t>
  </si>
  <si>
    <t>Passenger car:</t>
  </si>
  <si>
    <r>
      <t xml:space="preserve">1960-94: U.S. Department of Transportation, Federal Highway Administration, </t>
    </r>
    <r>
      <rPr>
        <i/>
        <sz val="9"/>
        <rFont val="Arial"/>
        <family val="2"/>
      </rPr>
      <t>Highway Statistics Summary to 1995,</t>
    </r>
    <r>
      <rPr>
        <sz val="9"/>
        <rFont val="Arial"/>
        <family val="2"/>
      </rPr>
      <t xml:space="preserve"> table VM-201A, available at http://www.fhwa.dot.gov/policyinformation/statistics.cfm as of Oct. 6, 2011. </t>
    </r>
  </si>
  <si>
    <t>1995-2006: Ibid., Highway Statistics (Washington, DC: Annual Issues), table VM-1, available at http://www.fhwa.dot.gov/policyinformation/statistics.cfm as of Oct. 6, 2011.</t>
  </si>
  <si>
    <t>Light duty vehicle, short wheel base:</t>
  </si>
  <si>
    <r>
      <t>2007-10: U.S. Department of Transportation, Federal Highway Administration,</t>
    </r>
    <r>
      <rPr>
        <i/>
        <sz val="9"/>
        <rFont val="Arial"/>
        <family val="2"/>
      </rPr>
      <t xml:space="preserve"> Highway Statistics</t>
    </r>
    <r>
      <rPr>
        <sz val="9"/>
        <rFont val="Arial"/>
        <family val="2"/>
      </rPr>
      <t xml:space="preserve"> (Washington, DC: Annual Issues), table VM-1, available at http://www.fhwa.dot.gov/policyinformation/statistics.cfm as of Nov. 30, 2012.</t>
    </r>
  </si>
  <si>
    <t>Other 2-axle 4-tire vehicle:</t>
  </si>
  <si>
    <r>
      <t xml:space="preserve">1970-94: U.S. Department of Transportation, Federal Highway Administration, </t>
    </r>
    <r>
      <rPr>
        <i/>
        <sz val="9"/>
        <rFont val="Arial"/>
        <family val="2"/>
      </rPr>
      <t>Highway Statistics Summary to 1995</t>
    </r>
    <r>
      <rPr>
        <sz val="9"/>
        <rFont val="Arial"/>
        <family val="2"/>
      </rPr>
      <t xml:space="preserve">, table VM-201A, available at http://www.fhwa.dot.gov/policyinformation/statistics.cfm as of Oct. 6, 2011. </t>
    </r>
  </si>
  <si>
    <t>Light duty vehicle, long wheel base:</t>
  </si>
  <si>
    <r>
      <t xml:space="preserve">2007-10: U.S. Department of Transportation, Federal Highway Administration, </t>
    </r>
    <r>
      <rPr>
        <i/>
        <sz val="9"/>
        <rFont val="Arial"/>
        <family val="2"/>
      </rPr>
      <t xml:space="preserve">Highway Statistics </t>
    </r>
    <r>
      <rPr>
        <sz val="9"/>
        <rFont val="Arial"/>
        <family val="2"/>
      </rPr>
      <t>(Washington, DC: Annual Issues), table VM-1, available at http://www.fhwa.dot.gov/policyinformation/statistics.cfm as of Nov. 30, 2012.</t>
    </r>
  </si>
  <si>
    <t>New vehicle fuel efficiency (based on model year production) and CAFE standards:</t>
  </si>
  <si>
    <r>
      <t xml:space="preserve">U.S. Department of Transportation, National Highway Traffic Safety Administration, </t>
    </r>
    <r>
      <rPr>
        <i/>
        <sz val="9"/>
        <rFont val="Arial"/>
        <family val="2"/>
      </rPr>
      <t>Summary of Fuel Economy Performance</t>
    </r>
    <r>
      <rPr>
        <sz val="9"/>
        <rFont val="Arial"/>
        <family val="2"/>
      </rPr>
      <t xml:space="preserve"> (Washington, DC: Annual Issues), available at http://www.nhtsa.gov/fuel-economy as of Nov. 30, 2012.</t>
    </r>
  </si>
  <si>
    <t>Quantity (VMT)</t>
  </si>
  <si>
    <t>Town of Blacksburg Daily VMT Totals</t>
  </si>
  <si>
    <t>2012 (Predicted)</t>
  </si>
  <si>
    <t>01</t>
  </si>
  <si>
    <t>Motorcycles</t>
  </si>
  <si>
    <t>02</t>
  </si>
  <si>
    <t>Passenger Cars</t>
  </si>
  <si>
    <t>03</t>
  </si>
  <si>
    <t>Two Axle, 4 Tire Single Unit Vehicles</t>
  </si>
  <si>
    <t>04</t>
  </si>
  <si>
    <t>Busses</t>
  </si>
  <si>
    <t>05</t>
  </si>
  <si>
    <t>Two Axle, 6 Tire Single Unit Trucks</t>
  </si>
  <si>
    <t>06</t>
  </si>
  <si>
    <t>Three Axle Single Unit Trucks</t>
  </si>
  <si>
    <t>07</t>
  </si>
  <si>
    <t>Four or More Axle Single Unit Trucks</t>
  </si>
  <si>
    <t>08</t>
  </si>
  <si>
    <t>Four Axle or Fewer Single Trailers</t>
  </si>
  <si>
    <t>09</t>
  </si>
  <si>
    <t>Five Axle Single Trailers</t>
  </si>
  <si>
    <t>10</t>
  </si>
  <si>
    <t>Six or More Axle Single Trailers</t>
  </si>
  <si>
    <t>Five Axle or Fewer Multi-Trailers</t>
  </si>
  <si>
    <t>Six Axle Multi-Trailers</t>
  </si>
  <si>
    <t>Seven or More Axle Multi-Trailers</t>
  </si>
  <si>
    <t>Total:</t>
  </si>
  <si>
    <t>Town of Blacksburg Annual VMT Totals</t>
  </si>
  <si>
    <t>2012 Predicted</t>
  </si>
  <si>
    <t>http://www.virginiadot.org/info/ct-TrafficCounts.asp</t>
  </si>
  <si>
    <t>Coefficient (kg/gallon)</t>
  </si>
  <si>
    <t>Coefficient (kg/VMT)</t>
  </si>
  <si>
    <t>Above values are in grams / mile</t>
  </si>
  <si>
    <t>TR.2.A</t>
  </si>
  <si>
    <t>Energy Quantity (Gallons)</t>
  </si>
  <si>
    <t>Passenger Vehicles - Gas</t>
  </si>
  <si>
    <t>Light Trucks - Gas</t>
  </si>
  <si>
    <t>Light Trucks - Diesel</t>
  </si>
  <si>
    <t>Single-Unit Trucks - Gas</t>
  </si>
  <si>
    <t>Single-Unit Trucks - Diesel</t>
  </si>
  <si>
    <t>Combination Trucks - Gas</t>
  </si>
  <si>
    <t>Combination Trucks - Diesel</t>
  </si>
  <si>
    <t>Passenger Vehicles - Diesel</t>
  </si>
  <si>
    <t>Sub-Total:</t>
  </si>
  <si>
    <t>Grand Total:</t>
  </si>
  <si>
    <t>tons</t>
  </si>
  <si>
    <t>Other Stationary Combustion</t>
  </si>
  <si>
    <t>Mobile Combustion</t>
  </si>
  <si>
    <t>Sector:</t>
  </si>
  <si>
    <t>Blacksburg Emissions Inventory 2011</t>
  </si>
  <si>
    <t>Blacksburg Emissions Inventory 2010</t>
  </si>
  <si>
    <t>Blacksburg Emissions Inventory 2009</t>
  </si>
  <si>
    <t>Blacksburg Emissions Inventory 2008</t>
  </si>
  <si>
    <t>Blacksburg Emissions Inventory 2007</t>
  </si>
  <si>
    <t>Blacksburg Emissions Inventory 2006</t>
  </si>
  <si>
    <t>CALENDAR YEAR 2011</t>
  </si>
  <si>
    <t>Fiscal 2011</t>
  </si>
  <si>
    <t>CALENDAR YEAR 2010</t>
  </si>
  <si>
    <t>Fiscal 2010</t>
  </si>
  <si>
    <t>CALENDAR YEAR 2009</t>
  </si>
  <si>
    <t>Fiscal 2009</t>
  </si>
  <si>
    <t>CALENDAR YEAR 2008</t>
  </si>
  <si>
    <t>Fiscal 2008</t>
  </si>
  <si>
    <t>Fiscal 2007</t>
  </si>
  <si>
    <t>CALENDAR YEAR 2007</t>
  </si>
  <si>
    <t>CALENDAR YEAR 2006</t>
  </si>
  <si>
    <t>Fiscal 2006</t>
  </si>
  <si>
    <t>BE.1.2 Calculations</t>
  </si>
  <si>
    <t>2011 and 2012</t>
  </si>
  <si>
    <t>Sum of KWH's</t>
  </si>
  <si>
    <t xml:space="preserve">MONTGOMERY          </t>
  </si>
  <si>
    <t xml:space="preserve">CITY OF BLACKSBURG                      </t>
  </si>
  <si>
    <t>R</t>
  </si>
  <si>
    <t>RESIDENTIAL</t>
  </si>
  <si>
    <t>C</t>
  </si>
  <si>
    <t>COMMERCIAL</t>
  </si>
  <si>
    <t>I</t>
  </si>
  <si>
    <t>P</t>
  </si>
  <si>
    <t>PUBLIC AUTH</t>
  </si>
  <si>
    <t>STATE_CD</t>
  </si>
  <si>
    <t>COUNTY_CD</t>
  </si>
  <si>
    <t>CNTY_TX</t>
  </si>
  <si>
    <t>CUMU_CD</t>
  </si>
  <si>
    <t>COMU_CD_TX</t>
  </si>
  <si>
    <t>ACCT_CLAS_CD</t>
  </si>
  <si>
    <t>CLAS_TX</t>
  </si>
  <si>
    <t>JAN06_BKWH</t>
  </si>
  <si>
    <t>FEB06_BKWH</t>
  </si>
  <si>
    <t>MAR06_BKWH</t>
  </si>
  <si>
    <t>APR06_BKWH</t>
  </si>
  <si>
    <t>MAY06_BKWH</t>
  </si>
  <si>
    <t>JUN06_BKWH</t>
  </si>
  <si>
    <t>JUL06_BKWH</t>
  </si>
  <si>
    <t>AUG06_BKWH</t>
  </si>
  <si>
    <t>SEP06_BKWH</t>
  </si>
  <si>
    <t>OCT06_BKWH</t>
  </si>
  <si>
    <t>NOV06_BKWH</t>
  </si>
  <si>
    <t>DEC06_BKWH</t>
  </si>
  <si>
    <t>JAN07_BKWH</t>
  </si>
  <si>
    <t>FEB07_BKWH</t>
  </si>
  <si>
    <t>MAR07_BKWH</t>
  </si>
  <si>
    <t>APR07_BKWH</t>
  </si>
  <si>
    <t>MAY07_BKWH</t>
  </si>
  <si>
    <t>JUN07_BKWH</t>
  </si>
  <si>
    <t>JUL07_BKWH</t>
  </si>
  <si>
    <t>AUG07_BKWH</t>
  </si>
  <si>
    <t>SEP07_BKWH</t>
  </si>
  <si>
    <t>OCT07_BKWH</t>
  </si>
  <si>
    <t>NOV07_BKWH</t>
  </si>
  <si>
    <t>DEC07_BKWH</t>
  </si>
  <si>
    <t>JAN08_BKWH</t>
  </si>
  <si>
    <t>FEB08_BKWH</t>
  </si>
  <si>
    <t>MAR08_BKWH</t>
  </si>
  <si>
    <t>APR08_BKWH</t>
  </si>
  <si>
    <t>MAY08_BKWH</t>
  </si>
  <si>
    <t>JUN08_BKWH</t>
  </si>
  <si>
    <t>JUL08_BKWH</t>
  </si>
  <si>
    <t>AUG08_BKWH</t>
  </si>
  <si>
    <t>SEP08_BKWH</t>
  </si>
  <si>
    <t>OCT08_BKWH</t>
  </si>
  <si>
    <t>NOV08_BKWH</t>
  </si>
  <si>
    <t>DEC08_BKWH</t>
  </si>
  <si>
    <t>JAN09_BKWH</t>
  </si>
  <si>
    <t>FEB09_BKWH</t>
  </si>
  <si>
    <t>MAR09_BKWH</t>
  </si>
  <si>
    <t>APR09_BKWH</t>
  </si>
  <si>
    <t>MAY09_BKWH</t>
  </si>
  <si>
    <t>JUN09_BKWH</t>
  </si>
  <si>
    <t>JUL09_BKWH</t>
  </si>
  <si>
    <t>AUG09_BKWH</t>
  </si>
  <si>
    <t>SEP09_BKWH</t>
  </si>
  <si>
    <t>OCT09_BKWH</t>
  </si>
  <si>
    <t>NOV09_BKWH</t>
  </si>
  <si>
    <t>DEC09_BKWH</t>
  </si>
  <si>
    <t>JAN10_BKWH</t>
  </si>
  <si>
    <t>FEB10_BKWH</t>
  </si>
  <si>
    <t>MAR10_BKWH</t>
  </si>
  <si>
    <t>APR10_BKWH</t>
  </si>
  <si>
    <t>MAY10_BKWH</t>
  </si>
  <si>
    <t>JUN10_BKWH</t>
  </si>
  <si>
    <t>JUL10_BKWH</t>
  </si>
  <si>
    <t>AUG10_BKWH</t>
  </si>
  <si>
    <t>SEP10_BKWH</t>
  </si>
  <si>
    <t>OCT10_BKWH</t>
  </si>
  <si>
    <t>NOV10_BKWH</t>
  </si>
  <si>
    <t>DEC10_BKWH</t>
  </si>
  <si>
    <t>Yearly Totals</t>
  </si>
  <si>
    <t>BE.2.2</t>
  </si>
  <si>
    <t>Total Emissions CO2 Eq</t>
  </si>
  <si>
    <t>Totals by Sector (kg CO2 eq)</t>
  </si>
  <si>
    <t>Total Energy Use (MMBtu)</t>
  </si>
  <si>
    <t>Built Environment - Stationary Combustion</t>
  </si>
  <si>
    <t>Built Environment - Electricity Use</t>
  </si>
  <si>
    <t>Totals by Sector (MMBtu)</t>
  </si>
  <si>
    <t xml:space="preserve">Source: </t>
  </si>
  <si>
    <t>http://www.afdc.energy.gov/fuels/fuel_comparison_chart.pdf</t>
  </si>
  <si>
    <t>Average Gasoline Energy Content:</t>
  </si>
  <si>
    <t>Average Diesel Energy Content:</t>
  </si>
  <si>
    <t>MMBtu/gal</t>
  </si>
  <si>
    <t>Trans</t>
  </si>
  <si>
    <t>Res</t>
  </si>
  <si>
    <t>Com</t>
  </si>
  <si>
    <t>Ind</t>
  </si>
  <si>
    <t>Pub</t>
  </si>
  <si>
    <t>Ind + Trans</t>
  </si>
  <si>
    <t>2006-2010 American Community Survey 5-Year Estimates</t>
  </si>
  <si>
    <r>
      <rPr>
        <sz val="10"/>
        <color indexed="8"/>
        <rFont val="SansSerif"/>
      </rPr>
      <t xml:space="preserve">Although the American Community Survey (ACS) produces population, demographic and housing unit estimates, for 2010, the 2010 Census provides the official counts of the population and housing units for the nation, states, counties, cities and towns. For 2006 to 2009, the Population Estimates Program provides intercensal estimates of the population for the nation, states, and counties.
</t>
    </r>
  </si>
  <si>
    <t>Estimate Margin of Error</t>
  </si>
  <si>
    <t>14,316</t>
  </si>
  <si>
    <t>+/-606</t>
  </si>
  <si>
    <t>13,085</t>
  </si>
  <si>
    <t>+/-657</t>
  </si>
  <si>
    <t>91.4%</t>
  </si>
  <si>
    <t>+/-2.4</t>
  </si>
  <si>
    <t>1,231</t>
  </si>
  <si>
    <t>+/-353</t>
  </si>
  <si>
    <t>8.6%</t>
  </si>
  <si>
    <t>0.7</t>
  </si>
  <si>
    <t>0.9</t>
  </si>
  <si>
    <t>4,422</t>
  </si>
  <si>
    <t>+/-260</t>
  </si>
  <si>
    <t>30.9%</t>
  </si>
  <si>
    <t>1,707</t>
  </si>
  <si>
    <t>+/-268</t>
  </si>
  <si>
    <t>355</t>
  </si>
  <si>
    <t>+/-152</t>
  </si>
  <si>
    <t>2.5%</t>
  </si>
  <si>
    <t>493</t>
  </si>
  <si>
    <t>+/-125</t>
  </si>
  <si>
    <t>3.4%</t>
  </si>
  <si>
    <t>1,750</t>
  </si>
  <si>
    <t>+/-315</t>
  </si>
  <si>
    <t>12.2%</t>
  </si>
  <si>
    <t>4,614</t>
  </si>
  <si>
    <t>+/-374</t>
  </si>
  <si>
    <t>673</t>
  </si>
  <si>
    <t>+/-184</t>
  </si>
  <si>
    <t>4.7%</t>
  </si>
  <si>
    <t>290</t>
  </si>
  <si>
    <t>+/-116</t>
  </si>
  <si>
    <t>460</t>
  </si>
  <si>
    <t>3.2%</t>
  </si>
  <si>
    <t>956</t>
  </si>
  <si>
    <t>+/-232</t>
  </si>
  <si>
    <t>6.7%</t>
  </si>
  <si>
    <t>2,066</t>
  </si>
  <si>
    <t>14.4%</t>
  </si>
  <si>
    <t>3,025</t>
  </si>
  <si>
    <t>+/-439</t>
  </si>
  <si>
    <t>21.1%</t>
  </si>
  <si>
    <t>4,237</t>
  </si>
  <si>
    <t>+/-524</t>
  </si>
  <si>
    <t>29.6%</t>
  </si>
  <si>
    <t>1,897</t>
  </si>
  <si>
    <t>+/-272</t>
  </si>
  <si>
    <t>13.3%</t>
  </si>
  <si>
    <t>871</t>
  </si>
  <si>
    <t>6.1%</t>
  </si>
  <si>
    <t>297</t>
  </si>
  <si>
    <t>507</t>
  </si>
  <si>
    <t>3.5%</t>
  </si>
  <si>
    <t>298</t>
  </si>
  <si>
    <t>+/-177</t>
  </si>
  <si>
    <t>280</t>
  </si>
  <si>
    <t>+/-122</t>
  </si>
  <si>
    <t>1,674</t>
  </si>
  <si>
    <t>+/-321</t>
  </si>
  <si>
    <t>11.7%</t>
  </si>
  <si>
    <t>3,134</t>
  </si>
  <si>
    <t>+/-351</t>
  </si>
  <si>
    <t>21.9%</t>
  </si>
  <si>
    <t>2,760</t>
  </si>
  <si>
    <t>+/-323</t>
  </si>
  <si>
    <t>19.3%</t>
  </si>
  <si>
    <t>2,373</t>
  </si>
  <si>
    <t>16.6%</t>
  </si>
  <si>
    <t>1,188</t>
  </si>
  <si>
    <t>+/-242</t>
  </si>
  <si>
    <t>8.3%</t>
  </si>
  <si>
    <t>1,004</t>
  </si>
  <si>
    <t>1,605</t>
  </si>
  <si>
    <t>+/-248</t>
  </si>
  <si>
    <t>11.2%</t>
  </si>
  <si>
    <t>5.1</t>
  </si>
  <si>
    <t>325</t>
  </si>
  <si>
    <t>+/-175</t>
  </si>
  <si>
    <t>2.3%</t>
  </si>
  <si>
    <t>1,640</t>
  </si>
  <si>
    <t>+/-291</t>
  </si>
  <si>
    <t>4,397</t>
  </si>
  <si>
    <t>+/-442</t>
  </si>
  <si>
    <t>30.7%</t>
  </si>
  <si>
    <t>4,174</t>
  </si>
  <si>
    <t>+/-419</t>
  </si>
  <si>
    <t>29.2%</t>
  </si>
  <si>
    <t>3,143</t>
  </si>
  <si>
    <t>637</t>
  </si>
  <si>
    <t>4,284</t>
  </si>
  <si>
    <t>+/-288</t>
  </si>
  <si>
    <t>32.7%</t>
  </si>
  <si>
    <t>8,801</t>
  </si>
  <si>
    <t>+/-629</t>
  </si>
  <si>
    <t>67.3%</t>
  </si>
  <si>
    <t>2.45</t>
  </si>
  <si>
    <t>2.25</t>
  </si>
  <si>
    <t>+/-0.09</t>
  </si>
  <si>
    <t>8,623</t>
  </si>
  <si>
    <t>65.9%</t>
  </si>
  <si>
    <t>2,054</t>
  </si>
  <si>
    <t>+/-297</t>
  </si>
  <si>
    <t>15.7%</t>
  </si>
  <si>
    <t>972</t>
  </si>
  <si>
    <t>+/-203</t>
  </si>
  <si>
    <t>7.4%</t>
  </si>
  <si>
    <t>682</t>
  </si>
  <si>
    <t>294</t>
  </si>
  <si>
    <t>+/-118</t>
  </si>
  <si>
    <t>+/-106</t>
  </si>
  <si>
    <t>736</t>
  </si>
  <si>
    <t>4,699</t>
  </si>
  <si>
    <t>+/-387</t>
  </si>
  <si>
    <t>35.9%</t>
  </si>
  <si>
    <t>4,514</t>
  </si>
  <si>
    <t>34.5%</t>
  </si>
  <si>
    <t>3,136</t>
  </si>
  <si>
    <t>+/-345</t>
  </si>
  <si>
    <t>24.0%</t>
  </si>
  <si>
    <t>3,618</t>
  </si>
  <si>
    <t>+/-366</t>
  </si>
  <si>
    <t>27.6%</t>
  </si>
  <si>
    <t>189</t>
  </si>
  <si>
    <t>+/-96</t>
  </si>
  <si>
    <t>1.4%</t>
  </si>
  <si>
    <t>8,520</t>
  </si>
  <si>
    <t>+/-639</t>
  </si>
  <si>
    <t>65.1%</t>
  </si>
  <si>
    <t>698</t>
  </si>
  <si>
    <t>5.3%</t>
  </si>
  <si>
    <t>15</t>
  </si>
  <si>
    <t>+/-22</t>
  </si>
  <si>
    <t>14</t>
  </si>
  <si>
    <t>+/-24</t>
  </si>
  <si>
    <t>19</t>
  </si>
  <si>
    <t>+/-31</t>
  </si>
  <si>
    <t>0.2%</t>
  </si>
  <si>
    <t>628</t>
  </si>
  <si>
    <t>+/-186</t>
  </si>
  <si>
    <t>13,003</t>
  </si>
  <si>
    <t>+/-653</t>
  </si>
  <si>
    <t>+/-35</t>
  </si>
  <si>
    <t>52</t>
  </si>
  <si>
    <t>169</t>
  </si>
  <si>
    <t>+/-107</t>
  </si>
  <si>
    <t>3.9%</t>
  </si>
  <si>
    <t>42</t>
  </si>
  <si>
    <t>+/-32</t>
  </si>
  <si>
    <t>1.0%</t>
  </si>
  <si>
    <t>410</t>
  </si>
  <si>
    <t>9.6%</t>
  </si>
  <si>
    <t>687</t>
  </si>
  <si>
    <t>16.0%</t>
  </si>
  <si>
    <t>+/-4.0</t>
  </si>
  <si>
    <t>1,551</t>
  </si>
  <si>
    <t>1,123</t>
  </si>
  <si>
    <t>+/-192</t>
  </si>
  <si>
    <t>26.2%</t>
  </si>
  <si>
    <t>302</t>
  </si>
  <si>
    <t>+/-126</t>
  </si>
  <si>
    <t>245,300</t>
  </si>
  <si>
    <t>+/-11,964</t>
  </si>
  <si>
    <t>2,844</t>
  </si>
  <si>
    <t>66.4%</t>
  </si>
  <si>
    <t>1,440</t>
  </si>
  <si>
    <t>+/-230</t>
  </si>
  <si>
    <t>33.6%</t>
  </si>
  <si>
    <t>43</t>
  </si>
  <si>
    <t>+/-39</t>
  </si>
  <si>
    <t>211</t>
  </si>
  <si>
    <t>340</t>
  </si>
  <si>
    <t>12.0%</t>
  </si>
  <si>
    <t>801</t>
  </si>
  <si>
    <t>+/-143</t>
  </si>
  <si>
    <t>28.2%</t>
  </si>
  <si>
    <t>+/-4.7</t>
  </si>
  <si>
    <t>+/-168</t>
  </si>
  <si>
    <t>+/-145</t>
  </si>
  <si>
    <t>21.0%</t>
  </si>
  <si>
    <t>1,517</t>
  </si>
  <si>
    <t>+/-99</t>
  </si>
  <si>
    <t>46</t>
  </si>
  <si>
    <t>260</t>
  </si>
  <si>
    <t>+/-124</t>
  </si>
  <si>
    <t>18.1%</t>
  </si>
  <si>
    <t>+/-7.4</t>
  </si>
  <si>
    <t>+/-110</t>
  </si>
  <si>
    <t>28.5%</t>
  </si>
  <si>
    <t>+/-7.1</t>
  </si>
  <si>
    <t>724</t>
  </si>
  <si>
    <t>50.3%</t>
  </si>
  <si>
    <t>+/-8.6</t>
  </si>
  <si>
    <t>401</t>
  </si>
  <si>
    <t>+/-199</t>
  </si>
  <si>
    <t>41.4%</t>
  </si>
  <si>
    <t>+/-5.7</t>
  </si>
  <si>
    <t>663</t>
  </si>
  <si>
    <t>+/-154</t>
  </si>
  <si>
    <t>23.3%</t>
  </si>
  <si>
    <t>+/-5.1</t>
  </si>
  <si>
    <t>314</t>
  </si>
  <si>
    <t>+/-123</t>
  </si>
  <si>
    <t>11.0%</t>
  </si>
  <si>
    <t>129</t>
  </si>
  <si>
    <t>4.5%</t>
  </si>
  <si>
    <t>561</t>
  </si>
  <si>
    <t>+/-136</t>
  </si>
  <si>
    <t>19.7%</t>
  </si>
  <si>
    <t>+/-4.4</t>
  </si>
  <si>
    <t>987</t>
  </si>
  <si>
    <t>68.5%</t>
  </si>
  <si>
    <t>+/-7.2</t>
  </si>
  <si>
    <t>65</t>
  </si>
  <si>
    <t>+/-50</t>
  </si>
  <si>
    <t>+/-3.4</t>
  </si>
  <si>
    <t>122</t>
  </si>
  <si>
    <t>+/-68</t>
  </si>
  <si>
    <t>8.5%</t>
  </si>
  <si>
    <t>31</t>
  </si>
  <si>
    <t>39</t>
  </si>
  <si>
    <t>+/-36</t>
  </si>
  <si>
    <t>35</t>
  </si>
  <si>
    <t>2.4%</t>
  </si>
  <si>
    <t>161</t>
  </si>
  <si>
    <t>+/-5.3</t>
  </si>
  <si>
    <t>8,706</t>
  </si>
  <si>
    <t>+/-625</t>
  </si>
  <si>
    <t>200</t>
  </si>
  <si>
    <t>540</t>
  </si>
  <si>
    <t>+/-169</t>
  </si>
  <si>
    <t>6.2%</t>
  </si>
  <si>
    <t>3,359</t>
  </si>
  <si>
    <t>38.6%</t>
  </si>
  <si>
    <t>2,273</t>
  </si>
  <si>
    <t>+/-316</t>
  </si>
  <si>
    <t>26.1%</t>
  </si>
  <si>
    <t>1,554</t>
  </si>
  <si>
    <t>17.8%</t>
  </si>
  <si>
    <t>761</t>
  </si>
  <si>
    <t>+/-215</t>
  </si>
  <si>
    <t>770</t>
  </si>
  <si>
    <t>+/-28</t>
  </si>
  <si>
    <t>95</t>
  </si>
  <si>
    <t>+/-62</t>
  </si>
  <si>
    <t>8,409</t>
  </si>
  <si>
    <t>602</t>
  </si>
  <si>
    <t>7.2%</t>
  </si>
  <si>
    <t>768</t>
  </si>
  <si>
    <t>9.1%</t>
  </si>
  <si>
    <t>808</t>
  </si>
  <si>
    <t>+/-241</t>
  </si>
  <si>
    <t>593</t>
  </si>
  <si>
    <t>+/-179</t>
  </si>
  <si>
    <t>7.1%</t>
  </si>
  <si>
    <t>454</t>
  </si>
  <si>
    <t>+/-153</t>
  </si>
  <si>
    <t>5.4%</t>
  </si>
  <si>
    <t>5,184</t>
  </si>
  <si>
    <t>+/-513</t>
  </si>
  <si>
    <t>61.6%</t>
  </si>
  <si>
    <t>392</t>
  </si>
  <si>
    <t>+/-150</t>
  </si>
  <si>
    <r>
      <rPr>
        <sz val="10"/>
        <color indexed="8"/>
        <rFont val="SansSerif"/>
      </rPr>
      <t xml:space="preserve">The 2009 and 2010 plumbing data for Puerto Rico will not be shown. Research indicates that the questions on plumbing </t>
    </r>
  </si>
  <si>
    <r>
      <rPr>
        <sz val="10"/>
        <color indexed="8"/>
        <rFont val="SansSerif"/>
      </rPr>
      <t xml:space="preserve">facilities that were introduced in 2008 in the stateside American Community Survey and the 2008 Puerto Rico Community Survey may not have been appropriate for Puerto Rico.
</t>
    </r>
  </si>
  <si>
    <r>
      <rPr>
        <sz val="10"/>
        <color indexed="8"/>
        <rFont val="SansSerif"/>
      </rPr>
      <t xml:space="preserve">While the 2006-2010 American Community Survey (ACS) data generally reflect the December 2009 Office of Management and Budget (OMB) definitions of metropolitan and micropolitan statistical areas; in certain instances the names, codes, and boundaries of the principal cities shown in ACS tables may differ from the OMB definitions due to differences in the effective dates of the geographic entities.
</t>
    </r>
  </si>
  <si>
    <r>
      <rPr>
        <sz val="10"/>
        <color indexed="8"/>
        <rFont val="SansSerif"/>
      </rPr>
      <t xml:space="preserve">Source: U.S. Census Bureau, 2006-2010 American Community Survey
</t>
    </r>
  </si>
  <si>
    <r>
      <rPr>
        <sz val="10"/>
        <color indexed="8"/>
        <rFont val="SansSerif"/>
      </rPr>
      <t xml:space="preserve">Explanation of Symbols:
    1.  An '**' entry in the margin of error column indicates that either no sample observations or too few sample observations were available to compute a standard error and thus the margin of error. A statistical test is not appropriate.
    2.  An '-' entry in the estimate column indicates that either no sample observations or too few sample observations were available to compute an estimate, or a ratio of medians cannot be calculated because one or both of the median estimates falls in the lowest interval or upper interval of an open-ended distribution.
    3.  An '-' following a median estimate means the median falls in the lowest interval of an open-ended distribution.
    4.  An '+' following a median estimate means the median falls in the upper interval of an open-ended distribution.
    5.  An '***' entry in the margin of error column indicates that the median falls in the lowest interval or upper interval of an open-ended distribution. A statistical test is not appropriate.
    6.  An '*****' entry in the margin of error column indicates that the estimate is controlled. A statistical test for sampling variability is not appropriate.
    7.  An 'N' entry in the estimate and </t>
    </r>
  </si>
  <si>
    <r>
      <rPr>
        <sz val="10"/>
        <color indexed="8"/>
        <rFont val="SansSerif"/>
      </rPr>
      <t xml:space="preserve">margin of error columns indicates that data for this geographic area cannot be displayed because the number of sample cases is too small.
    8.  An '(X)' means that the estimate is not applicable or not available.
</t>
    </r>
  </si>
  <si>
    <t>DP04-Geography-Blacksburg town, Virginia: Selected Housing Characteristics: 2005-2009</t>
  </si>
  <si>
    <t>2005-2009 American Community Survey 5-Year Estimates</t>
  </si>
  <si>
    <r>
      <rPr>
        <sz val="10"/>
        <color indexed="8"/>
        <rFont val="SansSerif"/>
      </rPr>
      <t>NOTE. Although the American Community Survey (ACS) produces population, demographic and housing unit estimates, it is the Census Bureau's Population Estimates Program that produces and disseminates the official estimates of the population for the nation, states, counties, cities and towns and estimates of housing units for states and counties.
For more information on confidentiality protection, sampling error, nonsampling error, and definitions, see Survey Methodology.</t>
    </r>
  </si>
  <si>
    <t>Selected Housing Characteristics</t>
  </si>
  <si>
    <t>Number</t>
  </si>
  <si>
    <t xml:space="preserve">  Total housing units</t>
  </si>
  <si>
    <t>14,679</t>
  </si>
  <si>
    <t>+/-702</t>
  </si>
  <si>
    <t>12,996</t>
  </si>
  <si>
    <t>+/-734</t>
  </si>
  <si>
    <t>88.5%</t>
  </si>
  <si>
    <t xml:space="preserve">    Vacant housing units</t>
  </si>
  <si>
    <t>1,683</t>
  </si>
  <si>
    <t>+/-390</t>
  </si>
  <si>
    <t xml:space="preserve">    Homeowner vacancy rate</t>
  </si>
  <si>
    <t>1.5</t>
  </si>
  <si>
    <t xml:space="preserve">    Rental vacancy rate</t>
  </si>
  <si>
    <t>4.0</t>
  </si>
  <si>
    <t>4,220</t>
  </si>
  <si>
    <t>+/-332</t>
  </si>
  <si>
    <t>1,556</t>
  </si>
  <si>
    <t>+/-286</t>
  </si>
  <si>
    <t>10.6%</t>
  </si>
  <si>
    <t>369</t>
  </si>
  <si>
    <t>523</t>
  </si>
  <si>
    <t>3.6%</t>
  </si>
  <si>
    <t>1,796</t>
  </si>
  <si>
    <t>+/-324</t>
  </si>
  <si>
    <t>5,097</t>
  </si>
  <si>
    <t>+/-528</t>
  </si>
  <si>
    <t>34.7%</t>
  </si>
  <si>
    <t>765</t>
  </si>
  <si>
    <t>339</t>
  </si>
  <si>
    <t>+/-139</t>
  </si>
  <si>
    <t>+/-23</t>
  </si>
  <si>
    <t>352</t>
  </si>
  <si>
    <t>939</t>
  </si>
  <si>
    <t>2,191</t>
  </si>
  <si>
    <t>+/-331</t>
  </si>
  <si>
    <t>14.9%</t>
  </si>
  <si>
    <t>3,290</t>
  </si>
  <si>
    <t>+/-407</t>
  </si>
  <si>
    <t>22.4%</t>
  </si>
  <si>
    <t>4,267</t>
  </si>
  <si>
    <t>+/-504</t>
  </si>
  <si>
    <t>29.1%</t>
  </si>
  <si>
    <t>+/-3.1</t>
  </si>
  <si>
    <t>1,922</t>
  </si>
  <si>
    <t>+/-342</t>
  </si>
  <si>
    <t>13.1%</t>
  </si>
  <si>
    <t>914</t>
  </si>
  <si>
    <t>+/-278</t>
  </si>
  <si>
    <t>309</t>
  </si>
  <si>
    <t>495</t>
  </si>
  <si>
    <t>219</t>
  </si>
  <si>
    <t>221</t>
  </si>
  <si>
    <t>1,703</t>
  </si>
  <si>
    <t>3,196</t>
  </si>
  <si>
    <t>+/-465</t>
  </si>
  <si>
    <t>21.8%</t>
  </si>
  <si>
    <t>3,024</t>
  </si>
  <si>
    <t>+/-376</t>
  </si>
  <si>
    <t>20.6%</t>
  </si>
  <si>
    <t>2,421</t>
  </si>
  <si>
    <t>+/-386</t>
  </si>
  <si>
    <t>16.5%</t>
  </si>
  <si>
    <t>1,236</t>
  </si>
  <si>
    <t>8.4%</t>
  </si>
  <si>
    <t>1,094</t>
  </si>
  <si>
    <t>1,565</t>
  </si>
  <si>
    <t>10.7%</t>
  </si>
  <si>
    <t>229</t>
  </si>
  <si>
    <t>1.6%</t>
  </si>
  <si>
    <t>1,581</t>
  </si>
  <si>
    <t>10.8%</t>
  </si>
  <si>
    <t>4,414</t>
  </si>
  <si>
    <t>+/-482</t>
  </si>
  <si>
    <t>30.1%</t>
  </si>
  <si>
    <t>4,370</t>
  </si>
  <si>
    <t>+/-492</t>
  </si>
  <si>
    <t>3,393</t>
  </si>
  <si>
    <t>+/-395</t>
  </si>
  <si>
    <t>23.1%</t>
  </si>
  <si>
    <t>692</t>
  </si>
  <si>
    <t xml:space="preserve">    Owner-occupied</t>
  </si>
  <si>
    <t>4,275</t>
  </si>
  <si>
    <t>+/-298</t>
  </si>
  <si>
    <t xml:space="preserve">    Renter-occupied</t>
  </si>
  <si>
    <t>8,721</t>
  </si>
  <si>
    <t>+/-679</t>
  </si>
  <si>
    <t>67.1%</t>
  </si>
  <si>
    <t xml:space="preserve">    Average household size of owner-occupied unit</t>
  </si>
  <si>
    <t>2.47</t>
  </si>
  <si>
    <t xml:space="preserve">    Average household size of renter-occupied unit</t>
  </si>
  <si>
    <t>2.23</t>
  </si>
  <si>
    <t>+/-0.12</t>
  </si>
  <si>
    <t xml:space="preserve">    Moved in 2005 or later</t>
  </si>
  <si>
    <t>7,410</t>
  </si>
  <si>
    <t>+/-677</t>
  </si>
  <si>
    <t>57.0%</t>
  </si>
  <si>
    <t xml:space="preserve">    Moved in 2000 to 2004</t>
  </si>
  <si>
    <t>3,253</t>
  </si>
  <si>
    <t>+/-409</t>
  </si>
  <si>
    <t>25.0%</t>
  </si>
  <si>
    <t xml:space="preserve">    Moved in 1990 to 1999</t>
  </si>
  <si>
    <t>1,014</t>
  </si>
  <si>
    <t>+/-182</t>
  </si>
  <si>
    <t>7.8%</t>
  </si>
  <si>
    <t xml:space="preserve">    Moved in 1980 to 1989</t>
  </si>
  <si>
    <t>657</t>
  </si>
  <si>
    <t xml:space="preserve">    Moved in 1970 to 1979</t>
  </si>
  <si>
    <t>286</t>
  </si>
  <si>
    <t>+/-101</t>
  </si>
  <si>
    <t xml:space="preserve">    Moved in 1969 or earlier</t>
  </si>
  <si>
    <t>376</t>
  </si>
  <si>
    <t>+/-94</t>
  </si>
  <si>
    <t>2.9%</t>
  </si>
  <si>
    <t xml:space="preserve">    No vehicles available</t>
  </si>
  <si>
    <t>565</t>
  </si>
  <si>
    <t xml:space="preserve">    1 vehicle available</t>
  </si>
  <si>
    <t>4,574</t>
  </si>
  <si>
    <t>+/-499</t>
  </si>
  <si>
    <t>35.2%</t>
  </si>
  <si>
    <t xml:space="preserve">    2 vehicles available</t>
  </si>
  <si>
    <t>4,337</t>
  </si>
  <si>
    <t>+/-426</t>
  </si>
  <si>
    <t>33.4%</t>
  </si>
  <si>
    <t xml:space="preserve">    3 or more vehicles available</t>
  </si>
  <si>
    <t>3,520</t>
  </si>
  <si>
    <t>+/-452</t>
  </si>
  <si>
    <t>27.1%</t>
  </si>
  <si>
    <t xml:space="preserve">    Utility gas</t>
  </si>
  <si>
    <t>3,744</t>
  </si>
  <si>
    <t>+/-479</t>
  </si>
  <si>
    <t>28.8%</t>
  </si>
  <si>
    <t xml:space="preserve">    Bottled, tank, or LP gas</t>
  </si>
  <si>
    <t>117</t>
  </si>
  <si>
    <t>+/-54</t>
  </si>
  <si>
    <t xml:space="preserve">    Electricity</t>
  </si>
  <si>
    <t>8,499</t>
  </si>
  <si>
    <t>+/-539</t>
  </si>
  <si>
    <t>65.4%</t>
  </si>
  <si>
    <t xml:space="preserve">    Fuel oil, kerosene, etc.</t>
  </si>
  <si>
    <t>574</t>
  </si>
  <si>
    <t>+/-140</t>
  </si>
  <si>
    <t xml:space="preserve">    Coal or coke</t>
  </si>
  <si>
    <t xml:space="preserve">    Wood</t>
  </si>
  <si>
    <t xml:space="preserve">    Solar energy</t>
  </si>
  <si>
    <t xml:space="preserve">    Other fuel</t>
  </si>
  <si>
    <t>33</t>
  </si>
  <si>
    <t xml:space="preserve">    No fuel used</t>
  </si>
  <si>
    <t xml:space="preserve">    Lacking complete plumbing facilities</t>
  </si>
  <si>
    <t>+/-21</t>
  </si>
  <si>
    <t xml:space="preserve">    Lacking complete kitchen facilities</t>
  </si>
  <si>
    <t xml:space="preserve">    No telephone service available</t>
  </si>
  <si>
    <t>903</t>
  </si>
  <si>
    <t>6.9%</t>
  </si>
  <si>
    <t xml:space="preserve">    1.00 or less</t>
  </si>
  <si>
    <t>12,931</t>
  </si>
  <si>
    <t>+/-743</t>
  </si>
  <si>
    <t>99.5%</t>
  </si>
  <si>
    <t xml:space="preserve">    1.01 to 1.50</t>
  </si>
  <si>
    <t>38</t>
  </si>
  <si>
    <t>+/-41</t>
  </si>
  <si>
    <t xml:space="preserve">    1.51 or more</t>
  </si>
  <si>
    <t>27</t>
  </si>
  <si>
    <t xml:space="preserve">  Owner-occupied units</t>
  </si>
  <si>
    <t xml:space="preserve">    Less than $50,000</t>
  </si>
  <si>
    <t>208</t>
  </si>
  <si>
    <t xml:space="preserve">    $50,000 to $99,999</t>
  </si>
  <si>
    <t>109</t>
  </si>
  <si>
    <t>+/-53</t>
  </si>
  <si>
    <t xml:space="preserve">    $100,000 to $149,999</t>
  </si>
  <si>
    <t>366</t>
  </si>
  <si>
    <t>+/-109</t>
  </si>
  <si>
    <t xml:space="preserve">    $150,000 to $199,999</t>
  </si>
  <si>
    <t>760</t>
  </si>
  <si>
    <t>+/-156</t>
  </si>
  <si>
    <t xml:space="preserve">    $200,000 to $299,999</t>
  </si>
  <si>
    <t>1,510</t>
  </si>
  <si>
    <t>35.3%</t>
  </si>
  <si>
    <t xml:space="preserve">    $300,000 to $499,999</t>
  </si>
  <si>
    <t>1,000</t>
  </si>
  <si>
    <t xml:space="preserve">    $500,000 to $999,999</t>
  </si>
  <si>
    <t>322</t>
  </si>
  <si>
    <t xml:space="preserve">    $1,000,000 or more</t>
  </si>
  <si>
    <t xml:space="preserve">    Median (dollars)</t>
  </si>
  <si>
    <t>234,700</t>
  </si>
  <si>
    <t>+/-7,751</t>
  </si>
  <si>
    <t>2,883</t>
  </si>
  <si>
    <t>+/-259</t>
  </si>
  <si>
    <t>67.4%</t>
  </si>
  <si>
    <t>1,392</t>
  </si>
  <si>
    <t>+/-213</t>
  </si>
  <si>
    <t>32.6%</t>
  </si>
  <si>
    <t xml:space="preserve">    Less than $300</t>
  </si>
  <si>
    <t>+/-26</t>
  </si>
  <si>
    <t>0.6%</t>
  </si>
  <si>
    <t xml:space="preserve">    $300 to $499</t>
  </si>
  <si>
    <t xml:space="preserve">    $500 to $699</t>
  </si>
  <si>
    <t>+/-86</t>
  </si>
  <si>
    <t>5.7%</t>
  </si>
  <si>
    <t xml:space="preserve">    $700 to $999</t>
  </si>
  <si>
    <t>461</t>
  </si>
  <si>
    <t>+/-4.3</t>
  </si>
  <si>
    <t xml:space="preserve">    $1,000 to $1,499</t>
  </si>
  <si>
    <t>883</t>
  </si>
  <si>
    <t>+/-171</t>
  </si>
  <si>
    <t>30.6%</t>
  </si>
  <si>
    <t>+/-5.5</t>
  </si>
  <si>
    <t xml:space="preserve">    $1,500 to $1,999</t>
  </si>
  <si>
    <t>730</t>
  </si>
  <si>
    <t>+/-131</t>
  </si>
  <si>
    <t>25.3%</t>
  </si>
  <si>
    <t xml:space="preserve">    $2,000 or more</t>
  </si>
  <si>
    <t>597</t>
  </si>
  <si>
    <t>+/-138</t>
  </si>
  <si>
    <t>20.7%</t>
  </si>
  <si>
    <t>1,447</t>
  </si>
  <si>
    <t>+/-63</t>
  </si>
  <si>
    <t xml:space="preserve">    Less than $100</t>
  </si>
  <si>
    <t>+/-47</t>
  </si>
  <si>
    <t xml:space="preserve">    $100 to $199</t>
  </si>
  <si>
    <t>70</t>
  </si>
  <si>
    <t>+/-43</t>
  </si>
  <si>
    <t>5.0%</t>
  </si>
  <si>
    <t xml:space="preserve">    $200 to $299</t>
  </si>
  <si>
    <t>295</t>
  </si>
  <si>
    <t>21.2%</t>
  </si>
  <si>
    <t>+/-6.3</t>
  </si>
  <si>
    <t xml:space="preserve">    $300 to $399</t>
  </si>
  <si>
    <t>421</t>
  </si>
  <si>
    <t>+/-105</t>
  </si>
  <si>
    <t>30.2%</t>
  </si>
  <si>
    <t>+/-6.2</t>
  </si>
  <si>
    <t xml:space="preserve">    $400 or more</t>
  </si>
  <si>
    <t>576</t>
  </si>
  <si>
    <t>+/-137</t>
  </si>
  <si>
    <t>+/-8.5</t>
  </si>
  <si>
    <t xml:space="preserve">  Housing units with a mortgage (excluding units where SMOCAPI cannot be computed)</t>
  </si>
  <si>
    <t>2,870</t>
  </si>
  <si>
    <t xml:space="preserve">    Less than 20.0 percent</t>
  </si>
  <si>
    <t>1,276</t>
  </si>
  <si>
    <t>+/-183</t>
  </si>
  <si>
    <t>44.5%</t>
  </si>
  <si>
    <t xml:space="preserve">    20.0 to 24.9 percent</t>
  </si>
  <si>
    <t>653</t>
  </si>
  <si>
    <t>+/-155</t>
  </si>
  <si>
    <t>22.8%</t>
  </si>
  <si>
    <t xml:space="preserve">    25.0 to 29.9 percent</t>
  </si>
  <si>
    <t>312</t>
  </si>
  <si>
    <t>10.9%</t>
  </si>
  <si>
    <t xml:space="preserve">    30.0 to 34.9 percent</t>
  </si>
  <si>
    <t xml:space="preserve">    35.0 percent or more</t>
  </si>
  <si>
    <t>17.7%</t>
  </si>
  <si>
    <t xml:space="preserve">    Not computed</t>
  </si>
  <si>
    <t xml:space="preserve">  Housing unit without a mortgage (excluding units where SMOCAPI cannot be computed)</t>
  </si>
  <si>
    <t xml:space="preserve">    Less than 10.0 percent</t>
  </si>
  <si>
    <t>936</t>
  </si>
  <si>
    <t>67.2%</t>
  </si>
  <si>
    <t>+/-8.3</t>
  </si>
  <si>
    <t xml:space="preserve">    10.0 to 14.9 percent</t>
  </si>
  <si>
    <t>78</t>
  </si>
  <si>
    <t>+/-48</t>
  </si>
  <si>
    <t xml:space="preserve">    15.0 to 19.9 percent</t>
  </si>
  <si>
    <t>131</t>
  </si>
  <si>
    <t>+/-64</t>
  </si>
  <si>
    <t>26</t>
  </si>
  <si>
    <t>2.8%</t>
  </si>
  <si>
    <t>149</t>
  </si>
  <si>
    <t>+/-79</t>
  </si>
  <si>
    <t xml:space="preserve">  Occupied units paying rent</t>
  </si>
  <si>
    <t>8,633</t>
  </si>
  <si>
    <t>+/-672</t>
  </si>
  <si>
    <t xml:space="preserve">    Less than $200</t>
  </si>
  <si>
    <t>71</t>
  </si>
  <si>
    <t>0.8%</t>
  </si>
  <si>
    <t>145</t>
  </si>
  <si>
    <t>+/-81</t>
  </si>
  <si>
    <t>1.7%</t>
  </si>
  <si>
    <t>586</t>
  </si>
  <si>
    <t>6.8%</t>
  </si>
  <si>
    <t xml:space="preserve">    $500 to $749</t>
  </si>
  <si>
    <t>3,356</t>
  </si>
  <si>
    <t>+/-427</t>
  </si>
  <si>
    <t>38.9%</t>
  </si>
  <si>
    <t xml:space="preserve">    $750 to $999</t>
  </si>
  <si>
    <t>2,248</t>
  </si>
  <si>
    <t>+/-446</t>
  </si>
  <si>
    <t>26.0%</t>
  </si>
  <si>
    <t>1,458</t>
  </si>
  <si>
    <t>16.9%</t>
  </si>
  <si>
    <t xml:space="preserve">    $1,500 or more</t>
  </si>
  <si>
    <t>769</t>
  </si>
  <si>
    <t xml:space="preserve">    No rent paid</t>
  </si>
  <si>
    <t>88</t>
  </si>
  <si>
    <t xml:space="preserve">  Occupied units paying rent (excluding units where GRAPI cannot be computed)</t>
  </si>
  <si>
    <t>8,427</t>
  </si>
  <si>
    <t>+/-668</t>
  </si>
  <si>
    <t xml:space="preserve">    Less than 15.0 percent</t>
  </si>
  <si>
    <t>451</t>
  </si>
  <si>
    <t>716</t>
  </si>
  <si>
    <t>879</t>
  </si>
  <si>
    <t>10.4%</t>
  </si>
  <si>
    <t>646</t>
  </si>
  <si>
    <t>447</t>
  </si>
  <si>
    <t>5,288</t>
  </si>
  <si>
    <t>+/-583</t>
  </si>
  <si>
    <t>62.8%</t>
  </si>
  <si>
    <r>
      <rPr>
        <sz val="10"/>
        <color indexed="8"/>
        <rFont val="SansSerif"/>
      </rPr>
      <t xml:space="preserve">Source: U.S. Census Bureau, 2005-2009 American Community Survey
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t>
    </r>
  </si>
  <si>
    <r>
      <rPr>
        <sz val="10"/>
        <color indexed="8"/>
        <rFont val="SansSerif"/>
      </rPr>
      <t xml:space="preserve">variability, see Accuracy of the Data). The effect of nonsampling error is not represented in these tables.
Notes:
Â·Caution should be used when comparing data for Number of Rooms between 2008 and 2009. A data collection error was identified for 2008 impacting the "1 room" category. For more information please see Errata Note #54.
Â·Caution should be used when comparing data for Number of Bedrooms between 2008 and 2009. A data collection error was identified for 2008 impacting the "0 bedrooms" category. For more information please see Errata Note #54.
Â·The 2005-2009 plumbing data for Puerto Rico will not be shown. Research indicates that the questions on plumbing facilities that were introduced in 2008 in the stateside American Community Survey and the 2008 Puerto Rico Community Survey may not have been appropriate for Puerto Rico.
Â·Caution should be used when comparing data for Telephone Service Availability between 2008 and 2009. A data collection error was identified for 2008 impacting the "no" category and underreporting those who did not have telephone service available. For more information please see Errata Note #53.
Â·Caution should be used when comparing data for Occupants per Room between 2008 and 2009. A data collection error was identified for 2008 impacting the "1 room" category. For more information please see Errata Note #54.
Â·In prior years, the universe included all owner-occupied units with a mortgage. It is now restricted to include only those units where SMOCAPI is computed, that is, SMOC and household income are valid values.
Â·In prior years, the universe included all owner-occupied units without a mortgage. It is now restricted to include only those units where SMOCAPI is computed, that is, SMOC and household income are valid values.
Â·In prior years, the universe included all renter-occupied units. It is now restricted to include only those units where GRAPI is computed, that is, gross rent and household Income are valid values.
Â·The median gross rent excludes no cash renters.
Â·While the 2005-2009 American Community Survey (ACS) data generally reflect the November 2008 Office of Management and Budget (OMB) definitions of metropolitan and micropolitan statistical areas; in certain instances the names, codes, and boundaries of the principal cities shown in ACS tables may differ from the OMB definitions due to differences in the effective dates of the </t>
    </r>
  </si>
  <si>
    <r>
      <rPr>
        <sz val="10"/>
        <color indexed="8"/>
        <rFont val="SansSerif"/>
      </rPr>
      <t xml:space="preserve">geographic entities.
Â·Estimates of urban and rural population, housing units, and characteristics reflect boundaries of urban areas defined based on Census 2000 data. Boundaries for urban areas have not been updated since Census 2000. As a result, data for urban and rural areas from the ACS do not necessarily reflect the results of ongoing urbanization.
Explanation of Symbols:
1. An '**' entry in the margin of error column indicates that either no sample observations or too few sample observations were available to compute a standard error and thus the margin of error. A statistical test is not appropriate.
2. An '-' entry in the estimate column indicates that either no sample observations or too few sample observations were available to compute an estimate, or a ratio of medians cannot be calculated because one or both of the median estimates falls in the lowest interval or upper interval of an open-ended distribution.
3. An '-' following a median estimate means the median falls in the lowest interval of an open-ended distribution.
4. An '+' following a median estimate means the median falls in the upper interval of an open-ended distribution.
5. An '***' entry in the margin of error column indicates that the median falls in the lowest interval or upper interval of an open-ended distribution. A statistical test is not appropriate.
6. An '*****' entry in the margin of error column indicates that the estimate is controlled. A statistical test for sampling variability is not appropriate.
7. An 'N' entry in the estimate and margin of error columns indicates that data for this geographic area cannot be displayed because the number of sample cases is too small.
8. An '(X)' means that the estimate is not applicable or not available.
</t>
    </r>
  </si>
  <si>
    <t>2006 - 2009</t>
  </si>
  <si>
    <t>DP04-Geography-Blacksburg town, Virginia: Selected Housing Characteristics: 2006-2008</t>
  </si>
  <si>
    <t>2006-2008 American Community Survey 3-Year Estimates</t>
  </si>
  <si>
    <r>
      <rPr>
        <sz val="10"/>
        <color indexed="8"/>
        <rFont val="SansSerif"/>
      </rPr>
      <t>For information on confidentiality protection, sampling error, nonsampling error, and definitions, see Survey Methodology.</t>
    </r>
  </si>
  <si>
    <t>14,567</t>
  </si>
  <si>
    <t>+/-560</t>
  </si>
  <si>
    <t>13,382</t>
  </si>
  <si>
    <t>+/-716</t>
  </si>
  <si>
    <t>91.9%</t>
  </si>
  <si>
    <t>1,185</t>
  </si>
  <si>
    <t>+/-397</t>
  </si>
  <si>
    <t>8.1%</t>
  </si>
  <si>
    <t>2.3</t>
  </si>
  <si>
    <t>0.8</t>
  </si>
  <si>
    <t>4,668</t>
  </si>
  <si>
    <t>32.0%</t>
  </si>
  <si>
    <t>1,751</t>
  </si>
  <si>
    <t>+/-384</t>
  </si>
  <si>
    <t>416</t>
  </si>
  <si>
    <t>+/-234</t>
  </si>
  <si>
    <t>532</t>
  </si>
  <si>
    <t>+/-227</t>
  </si>
  <si>
    <t>1,774</t>
  </si>
  <si>
    <t>+/-389</t>
  </si>
  <si>
    <t>4,611</t>
  </si>
  <si>
    <t>+/-516</t>
  </si>
  <si>
    <t>31.7%</t>
  </si>
  <si>
    <t>428</t>
  </si>
  <si>
    <t>373</t>
  </si>
  <si>
    <t>2.6%</t>
  </si>
  <si>
    <t>336</t>
  </si>
  <si>
    <t>+/-161</t>
  </si>
  <si>
    <t>1,081</t>
  </si>
  <si>
    <t>+/-295</t>
  </si>
  <si>
    <t>+/-451</t>
  </si>
  <si>
    <t>14.2%</t>
  </si>
  <si>
    <t>3,259</t>
  </si>
  <si>
    <t>+/-545</t>
  </si>
  <si>
    <t>3,953</t>
  </si>
  <si>
    <t>+/-536</t>
  </si>
  <si>
    <t>2,017</t>
  </si>
  <si>
    <t>+/-440</t>
  </si>
  <si>
    <t>13.8%</t>
  </si>
  <si>
    <t>882</t>
  </si>
  <si>
    <t>+/-279</t>
  </si>
  <si>
    <t>402</t>
  </si>
  <si>
    <t>+/-176</t>
  </si>
  <si>
    <t>571</t>
  </si>
  <si>
    <t>315</t>
  </si>
  <si>
    <t>363</t>
  </si>
  <si>
    <t>1,509</t>
  </si>
  <si>
    <t>+/-327</t>
  </si>
  <si>
    <t>3,031</t>
  </si>
  <si>
    <t>+/-556</t>
  </si>
  <si>
    <t>20.8%</t>
  </si>
  <si>
    <t>2,893</t>
  </si>
  <si>
    <t>19.9%</t>
  </si>
  <si>
    <t>2,084</t>
  </si>
  <si>
    <t>+/-503</t>
  </si>
  <si>
    <t>14.3%</t>
  </si>
  <si>
    <t>+/-380</t>
  </si>
  <si>
    <t>1,178</t>
  </si>
  <si>
    <t>+/-235</t>
  </si>
  <si>
    <t>1,629</t>
  </si>
  <si>
    <t>+/-253</t>
  </si>
  <si>
    <t>1,356</t>
  </si>
  <si>
    <t>+/-330</t>
  </si>
  <si>
    <t>4,323</t>
  </si>
  <si>
    <t>+/-632</t>
  </si>
  <si>
    <t>29.7%</t>
  </si>
  <si>
    <t>4,390</t>
  </si>
  <si>
    <t>+/-512</t>
  </si>
  <si>
    <t>3,350</t>
  </si>
  <si>
    <t>793</t>
  </si>
  <si>
    <t>4,584</t>
  </si>
  <si>
    <t>34.3%</t>
  </si>
  <si>
    <t>8,798</t>
  </si>
  <si>
    <t>+/-775</t>
  </si>
  <si>
    <t>65.7%</t>
  </si>
  <si>
    <t>2.39</t>
  </si>
  <si>
    <t>2.26</t>
  </si>
  <si>
    <t>+/-0.13</t>
  </si>
  <si>
    <t>8,192</t>
  </si>
  <si>
    <t>+/-688</t>
  </si>
  <si>
    <t>61.2%</t>
  </si>
  <si>
    <t>2,539</t>
  </si>
  <si>
    <t>1,078</t>
  </si>
  <si>
    <t>+/-211</t>
  </si>
  <si>
    <t>846</t>
  </si>
  <si>
    <t>+/-239</t>
  </si>
  <si>
    <t>6.3%</t>
  </si>
  <si>
    <t>273</t>
  </si>
  <si>
    <t>564</t>
  </si>
  <si>
    <t>4,906</t>
  </si>
  <si>
    <t>+/-624</t>
  </si>
  <si>
    <t>36.7%</t>
  </si>
  <si>
    <t>+/-616</t>
  </si>
  <si>
    <t>3,328</t>
  </si>
  <si>
    <t>+/-542</t>
  </si>
  <si>
    <t>24.9%</t>
  </si>
  <si>
    <t>45</t>
  </si>
  <si>
    <t>51</t>
  </si>
  <si>
    <t>747</t>
  </si>
  <si>
    <t>+/-261</t>
  </si>
  <si>
    <t>13,294</t>
  </si>
  <si>
    <t>+/-717</t>
  </si>
  <si>
    <t>99.3%</t>
  </si>
  <si>
    <t>58</t>
  </si>
  <si>
    <t>+/-73</t>
  </si>
  <si>
    <t>268</t>
  </si>
  <si>
    <t>5.8%</t>
  </si>
  <si>
    <t>80</t>
  </si>
  <si>
    <t>+/-67</t>
  </si>
  <si>
    <t>+/-114</t>
  </si>
  <si>
    <t>849</t>
  </si>
  <si>
    <t>+/-231</t>
  </si>
  <si>
    <t>18.5%</t>
  </si>
  <si>
    <t>1,528</t>
  </si>
  <si>
    <t>+/-301</t>
  </si>
  <si>
    <t>33.3%</t>
  </si>
  <si>
    <t>+/-6.1</t>
  </si>
  <si>
    <t>1,229</t>
  </si>
  <si>
    <t>+/-264</t>
  </si>
  <si>
    <t>26.8%</t>
  </si>
  <si>
    <t>+/-15,074</t>
  </si>
  <si>
    <t>3,132</t>
  </si>
  <si>
    <t>+/-277</t>
  </si>
  <si>
    <t>68.3%</t>
  </si>
  <si>
    <t>1,452</t>
  </si>
  <si>
    <t>+/-226</t>
  </si>
  <si>
    <t>61</t>
  </si>
  <si>
    <t>+/-59</t>
  </si>
  <si>
    <t>247</t>
  </si>
  <si>
    <t>7.9%</t>
  </si>
  <si>
    <t>467</t>
  </si>
  <si>
    <t>887</t>
  </si>
  <si>
    <t>+/-225</t>
  </si>
  <si>
    <t>28.3%</t>
  </si>
  <si>
    <t>+/-6.6</t>
  </si>
  <si>
    <t>732</t>
  </si>
  <si>
    <t>738</t>
  </si>
  <si>
    <t>+/-195</t>
  </si>
  <si>
    <t>23.6%</t>
  </si>
  <si>
    <t>1,459</t>
  </si>
  <si>
    <t>+/-87</t>
  </si>
  <si>
    <t>90</t>
  </si>
  <si>
    <t>+/-74</t>
  </si>
  <si>
    <t>364</t>
  </si>
  <si>
    <t>25.1%</t>
  </si>
  <si>
    <t>+/-9.3</t>
  </si>
  <si>
    <t>496</t>
  </si>
  <si>
    <t>34.2%</t>
  </si>
  <si>
    <t>+/-9.2</t>
  </si>
  <si>
    <t>+/-170</t>
  </si>
  <si>
    <t>34.6%</t>
  </si>
  <si>
    <t>+/-9.8</t>
  </si>
  <si>
    <t>1,196</t>
  </si>
  <si>
    <t>+/-269</t>
  </si>
  <si>
    <t>38.2%</t>
  </si>
  <si>
    <t>+/-7.5</t>
  </si>
  <si>
    <t>810</t>
  </si>
  <si>
    <t>+/-238</t>
  </si>
  <si>
    <t>25.9%</t>
  </si>
  <si>
    <t>412</t>
  </si>
  <si>
    <t>13.2%</t>
  </si>
  <si>
    <t>662</t>
  </si>
  <si>
    <t>+/-5.9</t>
  </si>
  <si>
    <t>924</t>
  </si>
  <si>
    <t>63.6%</t>
  </si>
  <si>
    <t>+/-10.3</t>
  </si>
  <si>
    <t>83</t>
  </si>
  <si>
    <t>+/-71</t>
  </si>
  <si>
    <t>143</t>
  </si>
  <si>
    <t>+/-82</t>
  </si>
  <si>
    <t>24</t>
  </si>
  <si>
    <t>+/-42</t>
  </si>
  <si>
    <t>1.8%</t>
  </si>
  <si>
    <t>59</t>
  </si>
  <si>
    <t>193</t>
  </si>
  <si>
    <t>+/-9.0</t>
  </si>
  <si>
    <t>8,639</t>
  </si>
  <si>
    <t>+/-771</t>
  </si>
  <si>
    <t>209</t>
  </si>
  <si>
    <t>+/-166</t>
  </si>
  <si>
    <t>590</t>
  </si>
  <si>
    <t>+/-214</t>
  </si>
  <si>
    <t>3,526</t>
  </si>
  <si>
    <t>+/-563</t>
  </si>
  <si>
    <t>40.8%</t>
  </si>
  <si>
    <t>2,197</t>
  </si>
  <si>
    <t>+/-469</t>
  </si>
  <si>
    <t>1,410</t>
  </si>
  <si>
    <t>+/-357</t>
  </si>
  <si>
    <t>669</t>
  </si>
  <si>
    <t>+/-280</t>
  </si>
  <si>
    <t>159</t>
  </si>
  <si>
    <t>+/-113</t>
  </si>
  <si>
    <t>8,416</t>
  </si>
  <si>
    <t>+/-740</t>
  </si>
  <si>
    <t>820</t>
  </si>
  <si>
    <t>+/-293</t>
  </si>
  <si>
    <t>9.7%</t>
  </si>
  <si>
    <t>+/-270</t>
  </si>
  <si>
    <t>+/-246</t>
  </si>
  <si>
    <t>468</t>
  </si>
  <si>
    <t>5,152</t>
  </si>
  <si>
    <t>+/-608</t>
  </si>
  <si>
    <t>382</t>
  </si>
  <si>
    <r>
      <rPr>
        <sz val="10"/>
        <color indexed="8"/>
        <rFont val="SansSerif"/>
      </rPr>
      <t xml:space="preserve">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Accuracy of the Data). The effect of nonsampling error is not represented in these tables.
</t>
    </r>
  </si>
  <si>
    <r>
      <rPr>
        <sz val="10"/>
        <color indexed="8"/>
        <rFont val="SansSerif"/>
      </rPr>
      <t xml:space="preserve">
Notes:
</t>
    </r>
  </si>
  <si>
    <r>
      <rPr>
        <sz val="10"/>
        <color indexed="8"/>
        <rFont val="SansSerif"/>
      </rPr>
      <t xml:space="preserve">While the 2008 American Community Survey (ACS) data generally reflect the November 2007 Office of Management and Budget (OMB) definitions of metropolitan and micropolitan statistical areas; in certain instances the names, codes, and boundaries of the principal cities shown in </t>
    </r>
  </si>
  <si>
    <r>
      <rPr>
        <sz val="10"/>
        <color indexed="8"/>
        <rFont val="SansSerif"/>
      </rPr>
      <t xml:space="preserve">ACS tables may differ from the OMB definitions due to differences in the effective dates of the geographic entities. The 2008 Puerto Rico Community Survey (PRCS) data generally reflect the November 2007 Office of Management and Budget (OMB) definitions of metropolitan and micropolitan statistical areas; in certain instances the names, codes, and boundaries of the principal cities shown in PRCS tables may differ from the OMB definitions due to differences in the effective dates of the geographic entities.
</t>
    </r>
  </si>
  <si>
    <r>
      <rPr>
        <sz val="10"/>
        <color indexed="8"/>
        <rFont val="SansSerif"/>
      </rPr>
      <t xml:space="preserve">Estimates of urban and rural population, housing units, and characteristics reflect boundaries of urban areas defined based on Census 2000 data. Boundaries for urban areas have not been updated since Census 2000. As a result, data for urban and rural areas from the ACS do not necessarily reflect the results of ongoing urbanization.
</t>
    </r>
  </si>
  <si>
    <r>
      <rPr>
        <sz val="10"/>
        <color indexed="8"/>
        <rFont val="SansSerif"/>
      </rPr>
      <t xml:space="preserve">
Explanation of Symbols:
1. An '**' entry in the margin of error column indicates that either no sample observations or too few sample observations were available to compute a standard error and thus the margin of error. A statistical test is not appropriate.
2. An '-' entry in the estimate column indicates that either no sample observations or too few sample observations were available to compute an estimate, or a ratio of medians cannot be calculated because one or both of the median estimates falls in the lowest interval or upper interval of an open-ended distribution.
3. An '-' following a median estimate means the median falls in the lowest interval of an open-ended distribution.
4. An '+' following a median estimate means the median falls in the upper interval of an open-ended distribution.
5. An '***' entry in the margin of error column indicates that the median falls in the lowest interval or upper interval of an open-ended distribution. A statistical test is not appropriate.
6. An '*****' entry in the margin of error column indicates that the estimate is controlled. A statistical test for sampling variability is not appropriate.
</t>
    </r>
  </si>
  <si>
    <r>
      <rPr>
        <sz val="10"/>
        <color indexed="8"/>
        <rFont val="SansSerif"/>
      </rPr>
      <t xml:space="preserve">Source: U.S. Census Bureau, 2006-2008 American Community Survey
</t>
    </r>
  </si>
  <si>
    <t>DP04-Geography-Blacksburg town, Virginia: Selected Housing Characteristics: 2005-2007</t>
  </si>
  <si>
    <t>2005-2007 American Community Survey 3-Year Estimates</t>
  </si>
  <si>
    <t>14,495</t>
  </si>
  <si>
    <t>+/-406</t>
  </si>
  <si>
    <t>100%</t>
  </si>
  <si>
    <t>12,741</t>
  </si>
  <si>
    <t>+/-595</t>
  </si>
  <si>
    <t>87.9%</t>
  </si>
  <si>
    <t>1,754</t>
  </si>
  <si>
    <t>+/-529</t>
  </si>
  <si>
    <t>1.1</t>
  </si>
  <si>
    <t>4.9</t>
  </si>
  <si>
    <t>+/-3.9</t>
  </si>
  <si>
    <t>4,459</t>
  </si>
  <si>
    <t>+/-421</t>
  </si>
  <si>
    <t>30.8%</t>
  </si>
  <si>
    <t>1,734</t>
  </si>
  <si>
    <t>+/-444</t>
  </si>
  <si>
    <t>316</t>
  </si>
  <si>
    <t>+/-256</t>
  </si>
  <si>
    <t>1,711</t>
  </si>
  <si>
    <t>+/-358</t>
  </si>
  <si>
    <t>11.8%</t>
  </si>
  <si>
    <t>4,898</t>
  </si>
  <si>
    <t>+/-552</t>
  </si>
  <si>
    <t>33.8%</t>
  </si>
  <si>
    <t>281</t>
  </si>
  <si>
    <t>23</t>
  </si>
  <si>
    <t>938</t>
  </si>
  <si>
    <t>6.5%</t>
  </si>
  <si>
    <t>1,857</t>
  </si>
  <si>
    <t>+/-339</t>
  </si>
  <si>
    <t>12.8%</t>
  </si>
  <si>
    <t>3,028</t>
  </si>
  <si>
    <t>+/-490</t>
  </si>
  <si>
    <t>20.9%</t>
  </si>
  <si>
    <t>4,228</t>
  </si>
  <si>
    <t>+/-531</t>
  </si>
  <si>
    <t>2,228</t>
  </si>
  <si>
    <t>+/-526</t>
  </si>
  <si>
    <t>15.4%</t>
  </si>
  <si>
    <t>1,022</t>
  </si>
  <si>
    <t>+/-303</t>
  </si>
  <si>
    <t>463</t>
  </si>
  <si>
    <t>139</t>
  </si>
  <si>
    <t>375</t>
  </si>
  <si>
    <t>1,342</t>
  </si>
  <si>
    <t>+/-306</t>
  </si>
  <si>
    <t>3,794</t>
  </si>
  <si>
    <t>+/-604</t>
  </si>
  <si>
    <t>3,045</t>
  </si>
  <si>
    <t>+/-476</t>
  </si>
  <si>
    <t>1,906</t>
  </si>
  <si>
    <t>1,114</t>
  </si>
  <si>
    <t>1,160</t>
  </si>
  <si>
    <t>8.0%</t>
  </si>
  <si>
    <t>1,620</t>
  </si>
  <si>
    <t xml:space="preserve">  Median (rooms)</t>
  </si>
  <si>
    <t>5.0</t>
  </si>
  <si>
    <t>174</t>
  </si>
  <si>
    <t>+/-111</t>
  </si>
  <si>
    <t>1,197</t>
  </si>
  <si>
    <t>+/-333</t>
  </si>
  <si>
    <t>5,281</t>
  </si>
  <si>
    <t>+/-760</t>
  </si>
  <si>
    <t>36.4%</t>
  </si>
  <si>
    <t>+/-5.0</t>
  </si>
  <si>
    <t>4,125</t>
  </si>
  <si>
    <t>+/-558</t>
  </si>
  <si>
    <t>2,885</t>
  </si>
  <si>
    <t>+/-438</t>
  </si>
  <si>
    <t>833</t>
  </si>
  <si>
    <t>4,249</t>
  </si>
  <si>
    <t>+/-401</t>
  </si>
  <si>
    <t>8,492</t>
  </si>
  <si>
    <t>+/-659</t>
  </si>
  <si>
    <t>66.7%</t>
  </si>
  <si>
    <t>2.46</t>
  </si>
  <si>
    <t>+/-0.14</t>
  </si>
  <si>
    <t>2.40</t>
  </si>
  <si>
    <t>5,937</t>
  </si>
  <si>
    <t>+/-685</t>
  </si>
  <si>
    <t>46.6%</t>
  </si>
  <si>
    <t>4,288</t>
  </si>
  <si>
    <t>+/-665</t>
  </si>
  <si>
    <t>33.7%</t>
  </si>
  <si>
    <t>+/-4.9</t>
  </si>
  <si>
    <t>1,217</t>
  </si>
  <si>
    <t>+/-255</t>
  </si>
  <si>
    <t>723</t>
  </si>
  <si>
    <t>269</t>
  </si>
  <si>
    <t>307</t>
  </si>
  <si>
    <t>+/-121</t>
  </si>
  <si>
    <t>431</t>
  </si>
  <si>
    <t>5,045</t>
  </si>
  <si>
    <t>+/-491</t>
  </si>
  <si>
    <t>39.6%</t>
  </si>
  <si>
    <t>4,193</t>
  </si>
  <si>
    <t>+/-501</t>
  </si>
  <si>
    <t>3,072</t>
  </si>
  <si>
    <t>+/-562</t>
  </si>
  <si>
    <t>24.1%</t>
  </si>
  <si>
    <t>18</t>
  </si>
  <si>
    <t>1,104</t>
  </si>
  <si>
    <t>+/-365</t>
  </si>
  <si>
    <t>12,690</t>
  </si>
  <si>
    <t>+/-603</t>
  </si>
  <si>
    <t>99.6%</t>
  </si>
  <si>
    <t>+/-40</t>
  </si>
  <si>
    <t>16</t>
  </si>
  <si>
    <t>+/-34</t>
  </si>
  <si>
    <t>153</t>
  </si>
  <si>
    <t>134</t>
  </si>
  <si>
    <t>+/-76</t>
  </si>
  <si>
    <t>+/-149</t>
  </si>
  <si>
    <t>815</t>
  </si>
  <si>
    <t>19.2%</t>
  </si>
  <si>
    <t>1,667</t>
  </si>
  <si>
    <t>39.2%</t>
  </si>
  <si>
    <t>+/-206</t>
  </si>
  <si>
    <t>226</t>
  </si>
  <si>
    <t>227,400</t>
  </si>
  <si>
    <t>+/-8,949</t>
  </si>
  <si>
    <t>MORTGAGE STATUS AND SELECTED MONTHLY OWNER COSTS</t>
  </si>
  <si>
    <t>3,037</t>
  </si>
  <si>
    <t>+/-367</t>
  </si>
  <si>
    <t xml:space="preserve">      Less than $300</t>
  </si>
  <si>
    <t xml:space="preserve">      $300 to $499</t>
  </si>
  <si>
    <t>77</t>
  </si>
  <si>
    <t xml:space="preserve">      $500 to $699</t>
  </si>
  <si>
    <t>74</t>
  </si>
  <si>
    <t>+/-69</t>
  </si>
  <si>
    <t xml:space="preserve">      $700 to $999</t>
  </si>
  <si>
    <t>436</t>
  </si>
  <si>
    <t>10.3%</t>
  </si>
  <si>
    <t xml:space="preserve">      $1,000 to $1,499</t>
  </si>
  <si>
    <t>1,103</t>
  </si>
  <si>
    <t xml:space="preserve">      $1,500 to $1,999</t>
  </si>
  <si>
    <t>755</t>
  </si>
  <si>
    <t xml:space="preserve">      $2,000 or more</t>
  </si>
  <si>
    <t>580</t>
  </si>
  <si>
    <t>+/-189</t>
  </si>
  <si>
    <t>13.7%</t>
  </si>
  <si>
    <t xml:space="preserve">      Median (dollars)</t>
  </si>
  <si>
    <t>1,420</t>
  </si>
  <si>
    <t>1,212</t>
  </si>
  <si>
    <t>+/-247</t>
  </si>
  <si>
    <t xml:space="preserve">      Less than $100</t>
  </si>
  <si>
    <t>50</t>
  </si>
  <si>
    <t xml:space="preserve">      $100 to $199</t>
  </si>
  <si>
    <t>67</t>
  </si>
  <si>
    <t xml:space="preserve">      $200 to $299</t>
  </si>
  <si>
    <t>326</t>
  </si>
  <si>
    <t xml:space="preserve">      $300 to $399</t>
  </si>
  <si>
    <t>474</t>
  </si>
  <si>
    <t xml:space="preserve">      $400 or more</t>
  </si>
  <si>
    <t>333</t>
  </si>
  <si>
    <t>SELECTED MONTHLY OWNER COSTS AS A PERCENTAGE OF HOUSEHOLD INCOME</t>
  </si>
  <si>
    <t xml:space="preserve">    Housing unit with a mortgage</t>
  </si>
  <si>
    <t xml:space="preserve">      Less than 20.0 percent</t>
  </si>
  <si>
    <t>1,331</t>
  </si>
  <si>
    <t>+/-250</t>
  </si>
  <si>
    <t>31.3%</t>
  </si>
  <si>
    <t xml:space="preserve">      20.0 to 24.9 percent</t>
  </si>
  <si>
    <t>16.2%</t>
  </si>
  <si>
    <t xml:space="preserve">      25.0 to 29.9 percent</t>
  </si>
  <si>
    <t xml:space="preserve">      30.0 to 34.9 percent</t>
  </si>
  <si>
    <t>97</t>
  </si>
  <si>
    <t xml:space="preserve">      35.0 percent or more</t>
  </si>
  <si>
    <t>483</t>
  </si>
  <si>
    <t>+/-202</t>
  </si>
  <si>
    <t>11.4%</t>
  </si>
  <si>
    <t xml:space="preserve">      Not computed</t>
  </si>
  <si>
    <t xml:space="preserve">    Housing unit without a mortgage</t>
  </si>
  <si>
    <t xml:space="preserve">      Less than 10.0 percent</t>
  </si>
  <si>
    <t>881</t>
  </si>
  <si>
    <t>+/-221</t>
  </si>
  <si>
    <t xml:space="preserve">      10.0 to 14.9 percent</t>
  </si>
  <si>
    <t xml:space="preserve">      15.0 to 19.9 percent</t>
  </si>
  <si>
    <t>40</t>
  </si>
  <si>
    <t>102</t>
  </si>
  <si>
    <t xml:space="preserve">  Renter-occupied units</t>
  </si>
  <si>
    <t>204</t>
  </si>
  <si>
    <t>+/-336</t>
  </si>
  <si>
    <t>10.5%</t>
  </si>
  <si>
    <t>3,584</t>
  </si>
  <si>
    <t>+/-509</t>
  </si>
  <si>
    <t>42.2%</t>
  </si>
  <si>
    <t>2,073</t>
  </si>
  <si>
    <t>+/-534</t>
  </si>
  <si>
    <t>1,096</t>
  </si>
  <si>
    <t>12.9%</t>
  </si>
  <si>
    <t>446</t>
  </si>
  <si>
    <t xml:space="preserve">    No cash rent</t>
  </si>
  <si>
    <t>137</t>
  </si>
  <si>
    <t>+/-102</t>
  </si>
  <si>
    <t>GROSS RENT AS A PERCENTAGE OF HOUSEHOLD INCOME</t>
  </si>
  <si>
    <t>635</t>
  </si>
  <si>
    <t>803</t>
  </si>
  <si>
    <t>9.5%</t>
  </si>
  <si>
    <t>750</t>
  </si>
  <si>
    <t>581</t>
  </si>
  <si>
    <t>4,783</t>
  </si>
  <si>
    <t>+/-572</t>
  </si>
  <si>
    <t>56.3%</t>
  </si>
  <si>
    <t>417</t>
  </si>
  <si>
    <r>
      <rPr>
        <sz val="10"/>
        <color indexed="8"/>
        <rFont val="SansSerif"/>
      </rPr>
      <t>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Accuracy of the Data). The effect of nonsampling error is not represented in these tables.</t>
    </r>
  </si>
  <si>
    <r>
      <rPr>
        <sz val="10"/>
        <color indexed="8"/>
        <rFont val="SansSerif"/>
      </rPr>
      <t xml:space="preserve">While the 2008 American Community Survey (ACS) data generally reflect the November 2007 Office of Management and Budget (OMB) definitions of metropolitan and micropolitan statistical areas; in certain instances the names, codes, and boundaries of the principal cities shown in ACS tables may differ from the OMB definitions due to differences in the effective dates of the geographic entities. </t>
    </r>
  </si>
  <si>
    <r>
      <rPr>
        <sz val="10"/>
        <color indexed="8"/>
        <rFont val="SansSerif"/>
      </rPr>
      <t xml:space="preserve">The 2008 Puerto Rico Community Survey (PRCS) data generally reflect the November 2007 Office of Management and Budget (OMB) definitions of metropolitan and micropolitan statistical areas; in certain instances the names, codes, and boundaries of the principal cities shown in PRCS tables may differ from the OMB definitions due to differences in the effective dates of the geographic entities.
</t>
    </r>
  </si>
  <si>
    <r>
      <rPr>
        <sz val="10"/>
        <color indexed="8"/>
        <rFont val="SansSerif"/>
      </rPr>
      <t xml:space="preserve">Source: U.S. Census Bureau, 2005-2007 American Community Survey
</t>
    </r>
  </si>
  <si>
    <t>Based on BCVPISA Quaterly Sewer Bills from 2nd QTR2010 to 4th QTR 2011 - Direct Billing began 3rd QTR 2011.</t>
  </si>
  <si>
    <t>MHS 4-4-2013</t>
  </si>
  <si>
    <t>Average Savings for TOB with Direct Metering</t>
  </si>
  <si>
    <t>TABLE -1</t>
  </si>
  <si>
    <t>(based on a rate of $/1000gallons)</t>
  </si>
  <si>
    <t>Fiscal QTRs</t>
  </si>
  <si>
    <t>Ratio Billing      $</t>
  </si>
  <si>
    <t>Direct Billing $</t>
  </si>
  <si>
    <t>Cost Savings  $</t>
  </si>
  <si>
    <t>4QTR 2010</t>
  </si>
  <si>
    <t>1QTR 2011</t>
  </si>
  <si>
    <t>2QTR 2011</t>
  </si>
  <si>
    <t>3QTR 2011</t>
  </si>
  <si>
    <t>4QTR 2011</t>
  </si>
  <si>
    <t>1QTR 2012</t>
  </si>
  <si>
    <t>2QTR 2012</t>
  </si>
  <si>
    <t>3QTR2012</t>
  </si>
  <si>
    <t>4QTR2012</t>
  </si>
  <si>
    <t>1QTR 2013</t>
  </si>
  <si>
    <t>Total Cost Savings with Direct Metering =</t>
  </si>
  <si>
    <t>TABLE - 2: Comparison of Town flow and billing for the last 2 years of billing</t>
  </si>
  <si>
    <t>Volumes</t>
  </si>
  <si>
    <t>Billing Percentages</t>
  </si>
  <si>
    <t>Volume Percentages</t>
  </si>
  <si>
    <t>Billing Date</t>
  </si>
  <si>
    <t>Based upon Water consumption Bills</t>
  </si>
  <si>
    <t>BVPISA</t>
  </si>
  <si>
    <t xml:space="preserve">TOB </t>
  </si>
  <si>
    <t>Bburg Vol</t>
  </si>
  <si>
    <t>VT Vol</t>
  </si>
  <si>
    <t>MCPSA Vol</t>
  </si>
  <si>
    <t>SubTotal</t>
  </si>
  <si>
    <t>Plant Meter</t>
  </si>
  <si>
    <t>Auth Vol</t>
  </si>
  <si>
    <t>Bburg</t>
  </si>
  <si>
    <t>VT</t>
  </si>
  <si>
    <t>MCPSA</t>
  </si>
  <si>
    <t>BCVPISA</t>
  </si>
  <si>
    <t>Contributing Flow</t>
  </si>
  <si>
    <t>3QTR2005</t>
  </si>
  <si>
    <t>1QTR2006</t>
  </si>
  <si>
    <t>2QTR 2006</t>
  </si>
  <si>
    <t>3QTR2006</t>
  </si>
  <si>
    <t>4QTR2006</t>
  </si>
  <si>
    <t>1Qtr2007</t>
  </si>
  <si>
    <t>2QTR2007</t>
  </si>
  <si>
    <t>3QTR2007</t>
  </si>
  <si>
    <t>4QTR2007</t>
  </si>
  <si>
    <t>1QTR2008</t>
  </si>
  <si>
    <t>2QTR2008</t>
  </si>
  <si>
    <t>3QTR2008</t>
  </si>
  <si>
    <t>4QTR2008</t>
  </si>
  <si>
    <t>1QTR2009</t>
  </si>
  <si>
    <t>2QTR2009</t>
  </si>
  <si>
    <t>3QTR2009</t>
  </si>
  <si>
    <t>4QTR2009</t>
  </si>
  <si>
    <t>1QTR2010</t>
  </si>
  <si>
    <t>2QTR2010</t>
  </si>
  <si>
    <t>3QTR2010</t>
  </si>
  <si>
    <t>4QTR2010</t>
  </si>
  <si>
    <t>1QTR2011</t>
  </si>
  <si>
    <t>2QTR2011</t>
  </si>
  <si>
    <t>3QTR2011</t>
  </si>
  <si>
    <t>4QTR2011</t>
  </si>
  <si>
    <t>1QTR2012</t>
  </si>
  <si>
    <t>2QTR2012</t>
  </si>
  <si>
    <t>1QTR2013</t>
  </si>
  <si>
    <t>Averages =</t>
  </si>
  <si>
    <t>Wastewater and Water Emissions</t>
  </si>
  <si>
    <t>Transportation and Other Mobile Emissions</t>
  </si>
  <si>
    <t>Wastewater</t>
  </si>
  <si>
    <t>ICLEI Community Protocol, Appendix F: Wastewater and Water Emission Activities and Sources</t>
  </si>
  <si>
    <t>Calculation Type</t>
  </si>
  <si>
    <t>Blacksburg Yearly Volume Totals:</t>
  </si>
  <si>
    <t>Quantity (Gal)</t>
  </si>
  <si>
    <t>WW.15</t>
  </si>
  <si>
    <t>WW.8</t>
  </si>
  <si>
    <t>Process Emissions</t>
  </si>
  <si>
    <t>Energy Use</t>
  </si>
  <si>
    <t>"Person Equivelent" = 100 gallons / day = 36,525 gallons / year</t>
  </si>
  <si>
    <t>Lagoon Methane Emissions</t>
  </si>
  <si>
    <t>WW.6</t>
  </si>
  <si>
    <t>WW.12</t>
  </si>
  <si>
    <t>Fugitive Emissions</t>
  </si>
  <si>
    <t>Solid Waste</t>
  </si>
  <si>
    <t>Non-Boiler Building Gas (Btu)</t>
  </si>
  <si>
    <t>Boiler Gas (Btu)</t>
  </si>
  <si>
    <t>Total Campus (Btu)</t>
  </si>
  <si>
    <t>VTES Campus Metered Electricity Consumption (kWh)</t>
  </si>
  <si>
    <t>Btus by Month:</t>
  </si>
  <si>
    <t>Buildings</t>
  </si>
  <si>
    <t>Steam Plant</t>
  </si>
  <si>
    <t>Mcf by Month:</t>
  </si>
  <si>
    <t>VT Steam Plant</t>
  </si>
  <si>
    <t>VT Buildings</t>
  </si>
  <si>
    <t>Facility</t>
  </si>
  <si>
    <t>Sewer Pump</t>
  </si>
  <si>
    <t>Sewer Pump Station</t>
  </si>
  <si>
    <t>Street Lights</t>
  </si>
  <si>
    <t>Traffic Signal</t>
  </si>
  <si>
    <t>Water Tanks/Pumps</t>
  </si>
  <si>
    <t>kWhs</t>
  </si>
  <si>
    <t>ATMOS</t>
  </si>
  <si>
    <t>mcf</t>
  </si>
  <si>
    <t>Scope 1: All direct GHG emissions</t>
  </si>
  <si>
    <t>Scope 2: Indirect GHG emissions from consumption of purchased electricity, heat or steam.</t>
  </si>
  <si>
    <t>Scope 3: Other indirect emissions, such as the extraction and production of purchased materials and fuels, transport-related activities in vehicles not owned or controlled by the reporting entity, electricity-related activities (e.g. T&amp;D losses) not covered in Scope 2, outsourced activities, waste disposal, etc.</t>
  </si>
  <si>
    <t>Virginia Tech GHG Emissions by Source (Tons CO2-Equivalent)</t>
  </si>
  <si>
    <t>Source</t>
  </si>
  <si>
    <t>2005 (Reported Tons)</t>
  </si>
  <si>
    <t>2005 (Equiv. Metric  Tons)</t>
  </si>
  <si>
    <t>2005 - Scope 1,2</t>
  </si>
  <si>
    <t>2005 - Scope 3</t>
  </si>
  <si>
    <t>2006 (Reported Tons)</t>
  </si>
  <si>
    <t>2006 (Equiv. Metric  Tons)</t>
  </si>
  <si>
    <t>2006 - Scope 1,2</t>
  </si>
  <si>
    <t>2006 - Scope 3</t>
  </si>
  <si>
    <t>2007 (Reported Tons)</t>
  </si>
  <si>
    <t>2007 (Equiv. Metric  Tons)</t>
  </si>
  <si>
    <t>2007 - Scope 1,2</t>
  </si>
  <si>
    <t>2007 - Scope 3</t>
  </si>
  <si>
    <t>2008 (Reported Tons)</t>
  </si>
  <si>
    <t>2008 (Equiv. Metric  Tons)</t>
  </si>
  <si>
    <t>2008 - Scope 1,2</t>
  </si>
  <si>
    <t>2008 - Scope 3</t>
  </si>
  <si>
    <t>2009 (Reported Tons)</t>
  </si>
  <si>
    <t>2009 (Metric Tons)</t>
  </si>
  <si>
    <t>2009 - Scope 1,2</t>
  </si>
  <si>
    <t>2009 - Scope 3</t>
  </si>
  <si>
    <t>Purchased Electricity (2)</t>
  </si>
  <si>
    <t>Coal (1)</t>
  </si>
  <si>
    <t>Light Fuel Oil (1)</t>
  </si>
  <si>
    <t>Natural Gas (Steam Plant) (1)</t>
  </si>
  <si>
    <t>Natural Gas (Buildings) (1)</t>
  </si>
  <si>
    <t>Solid Waste (3)</t>
  </si>
  <si>
    <t>Water/WW (3)</t>
  </si>
  <si>
    <t>Subtotal</t>
  </si>
  <si>
    <t>Commuting (3)</t>
  </si>
  <si>
    <t>VT Fleet (1)</t>
  </si>
  <si>
    <t>VT Aviations (1)</t>
  </si>
  <si>
    <t>Campus GSF</t>
  </si>
  <si>
    <t>GHG (Tonnes) / GSF</t>
  </si>
  <si>
    <t>Full-Time Students (FTSE)</t>
  </si>
  <si>
    <t>GHG (Tonnes) / FTSE</t>
  </si>
  <si>
    <t>Table B.1. Energy Use and Emission Coefficients</t>
  </si>
  <si>
    <t>Energy Source</t>
  </si>
  <si>
    <t>Unit</t>
  </si>
  <si>
    <t>BTU</t>
  </si>
  <si>
    <t>CO2 Equivalent GHG - lbs/unit</t>
  </si>
  <si>
    <t>Electricity (AEP)</t>
  </si>
  <si>
    <t>kWh</t>
  </si>
  <si>
    <t>Light Fuel Oil</t>
  </si>
  <si>
    <t>gallon</t>
  </si>
  <si>
    <t>1000 ft3</t>
  </si>
  <si>
    <t>Propane</t>
  </si>
  <si>
    <t>lb</t>
  </si>
  <si>
    <t>FY 2005</t>
  </si>
  <si>
    <t>FY 2006</t>
  </si>
  <si>
    <t>FY 2007</t>
  </si>
  <si>
    <t>FY 2008</t>
  </si>
  <si>
    <t>FY 2009</t>
  </si>
  <si>
    <t>The following data is for fiscal years 2005 to 2009 (July - June)</t>
  </si>
  <si>
    <t>Jan-Jun 05</t>
  </si>
  <si>
    <t>Jun - Dec 05</t>
  </si>
  <si>
    <t>Jan-Jun 06</t>
  </si>
  <si>
    <t>Jun - Dec 06</t>
  </si>
  <si>
    <t>Jan-Jun 07</t>
  </si>
  <si>
    <t>Jun - Dec 07</t>
  </si>
  <si>
    <t>Jan-Jun 08</t>
  </si>
  <si>
    <t>Jun - Dec 08</t>
  </si>
  <si>
    <t>Jan-Jun 09</t>
  </si>
  <si>
    <t>Jun-Jan 04</t>
  </si>
  <si>
    <t>Natural Gas Quantities (mcf)</t>
  </si>
  <si>
    <t>Estimated Calendar Year Quantities (mcf)</t>
  </si>
  <si>
    <t>Actual Calendar Year Quantities (mcf)</t>
  </si>
  <si>
    <t>N/A</t>
  </si>
  <si>
    <t>Yearly Totals (Mcf)</t>
  </si>
  <si>
    <t>SW.4.1</t>
  </si>
  <si>
    <t>Methane Emissions</t>
  </si>
  <si>
    <t>FACILITIES</t>
  </si>
  <si>
    <t>APARTMENTS</t>
  </si>
  <si>
    <t>BUSINESS</t>
  </si>
  <si>
    <t>INDUSTRY</t>
  </si>
  <si>
    <t>PRIVATE GARAGES</t>
  </si>
  <si>
    <t>HAULERS</t>
  </si>
  <si>
    <t>MATERIAL TOTAL</t>
  </si>
  <si>
    <t>TOTAL MRSWA &amp; OTHER</t>
  </si>
  <si>
    <t>MRSWA</t>
  </si>
  <si>
    <t>Waste Mgmt</t>
  </si>
  <si>
    <t>PRM TYPE</t>
  </si>
  <si>
    <t>Paper</t>
  </si>
  <si>
    <t>Metal</t>
  </si>
  <si>
    <t>Plastic</t>
  </si>
  <si>
    <t>Glass</t>
  </si>
  <si>
    <t>Commingled</t>
  </si>
  <si>
    <t>Yard Waste</t>
  </si>
  <si>
    <t>Waste Wood</t>
  </si>
  <si>
    <t>Textiles</t>
  </si>
  <si>
    <t>Combined from Routes</t>
  </si>
  <si>
    <t>TOTAL PRM</t>
  </si>
  <si>
    <t>SRM TYPE</t>
  </si>
  <si>
    <t>Waste Tires</t>
  </si>
  <si>
    <t>Used Oil</t>
  </si>
  <si>
    <t>Used Oil Filters Metal</t>
  </si>
  <si>
    <t>Used Antifreeze</t>
  </si>
  <si>
    <t>Transmission Fluid</t>
  </si>
  <si>
    <t>Solvent</t>
  </si>
  <si>
    <t>Autobodies</t>
  </si>
  <si>
    <t>Batteries</t>
  </si>
  <si>
    <t>Sludge</t>
  </si>
  <si>
    <t>Non-Auto Batteries</t>
  </si>
  <si>
    <t>Electronics</t>
  </si>
  <si>
    <t>Tree Stumps</t>
  </si>
  <si>
    <t>Cooking Oil/Grease</t>
  </si>
  <si>
    <t>RECYCLED SRM</t>
  </si>
  <si>
    <t>REUSED SRM</t>
  </si>
  <si>
    <t>OTHER RECYCLE TYPE</t>
  </si>
  <si>
    <t xml:space="preserve">Construction </t>
  </si>
  <si>
    <t>Demol. / recycle</t>
  </si>
  <si>
    <t>Debris</t>
  </si>
  <si>
    <t>Ash</t>
  </si>
  <si>
    <t>Fluorescent Lamps</t>
  </si>
  <si>
    <t>TOTAL OTHER RECYCLE</t>
  </si>
  <si>
    <t>TOTAL OTHER REUSE</t>
  </si>
  <si>
    <t>TOTAL RECYCLE</t>
  </si>
  <si>
    <t>TOTAL REUSE</t>
  </si>
  <si>
    <t>MSW TYPE</t>
  </si>
  <si>
    <t>Household</t>
  </si>
  <si>
    <t>Commercial- PW Roll Off</t>
  </si>
  <si>
    <t>Institutional</t>
  </si>
  <si>
    <t>Single Stream</t>
  </si>
  <si>
    <t>Used Oil Filters</t>
  </si>
  <si>
    <t>Comingled</t>
  </si>
  <si>
    <t>120 units</t>
  </si>
  <si>
    <t>Facilities</t>
  </si>
  <si>
    <t>Apartments</t>
  </si>
  <si>
    <t>Business</t>
  </si>
  <si>
    <t>Industry</t>
  </si>
  <si>
    <t>P. Garages</t>
  </si>
  <si>
    <t>TOTAL</t>
  </si>
  <si>
    <t>Red= Not accounted for by MRSWA</t>
  </si>
  <si>
    <t>*For now, I've lumped all businesses and industries together for recycling. Almost all businesses we collect from are industrial (aside from groceries and YMCA). Right now, we do not have a clear operational defintion of business or industry.  I put the route numbers for refuse under business instead of apartments or industry, because we do not have the ability to separate it out. I added Valley Protein under Business SRM other. These are not accounted for at MRSWA</t>
  </si>
  <si>
    <t xml:space="preserve">*I have not included any self-reported numbers from industry and garages that went to MRSWA in recycling, so that there is not double counting. We can restructure things for our own internal reports. </t>
  </si>
  <si>
    <t>*Any reused materials from industry and garages have been accounted for in the third group with C&amp;D under the "other" category.</t>
  </si>
  <si>
    <t>*0.43 tons of paper in Facilities went to Shred It, not to MRSWA.</t>
  </si>
  <si>
    <t>*11.13 tons of metal from Facilities did not go to MRSWA (New River Recycling and oil filter metal).</t>
  </si>
  <si>
    <t>*2.3625 tons of Facilities batteries did not go to MRSWA (auto batteries)</t>
  </si>
  <si>
    <t>Data from DEQ Reports (tons)</t>
  </si>
  <si>
    <t>Predicted Apartments</t>
  </si>
  <si>
    <t>Predicted Institutional</t>
  </si>
  <si>
    <t>Predicted Commercial</t>
  </si>
  <si>
    <t>Quantity (Tons)</t>
  </si>
  <si>
    <t>Landfill Process Emissions</t>
  </si>
  <si>
    <t>Transportation Emissions</t>
  </si>
  <si>
    <t>Solid Waste Emissions</t>
  </si>
  <si>
    <t>Water and Wastewater</t>
  </si>
  <si>
    <t>Wastewater and Water</t>
  </si>
  <si>
    <r>
      <t xml:space="preserve">Source: </t>
    </r>
    <r>
      <rPr>
        <sz val="11"/>
        <color theme="1"/>
        <rFont val="Calibri"/>
        <family val="2"/>
        <scheme val="minor"/>
      </rPr>
      <t>Frank Selby, Virginia Tech</t>
    </r>
  </si>
  <si>
    <r>
      <rPr>
        <b/>
        <sz val="11"/>
        <color theme="1"/>
        <rFont val="Calibri"/>
        <family val="2"/>
        <scheme val="minor"/>
      </rPr>
      <t>Source:</t>
    </r>
    <r>
      <rPr>
        <sz val="11"/>
        <color theme="1"/>
        <rFont val="Calibri"/>
        <family val="2"/>
        <scheme val="minor"/>
      </rPr>
      <t xml:space="preserve"> Denise Manning, ATMOS Energy</t>
    </r>
  </si>
  <si>
    <r>
      <t>Source:</t>
    </r>
    <r>
      <rPr>
        <sz val="11"/>
        <color theme="1"/>
        <rFont val="Calibri"/>
        <family val="2"/>
        <scheme val="minor"/>
      </rPr>
      <t xml:space="preserve"> ICLEI Community Protocol, Appendix E: Solid Waste Activities and Sources</t>
    </r>
  </si>
  <si>
    <r>
      <t>Source:</t>
    </r>
    <r>
      <rPr>
        <sz val="11"/>
        <color theme="1"/>
        <rFont val="Calibri"/>
        <family val="2"/>
        <scheme val="minor"/>
      </rPr>
      <t xml:space="preserve"> ICLEI Community Protocol, Appendix B: Built Environment Emission Activities and Sources</t>
    </r>
  </si>
  <si>
    <r>
      <rPr>
        <b/>
        <sz val="11"/>
        <rFont val="Calibri"/>
        <family val="2"/>
      </rPr>
      <t xml:space="preserve">Source: </t>
    </r>
    <r>
      <rPr>
        <sz val="11"/>
        <rFont val="Calibri"/>
        <family val="2"/>
      </rPr>
      <t>American Community Survey 2007-2011</t>
    </r>
  </si>
  <si>
    <r>
      <rPr>
        <b/>
        <sz val="11"/>
        <rFont val="Calibri"/>
        <family val="2"/>
      </rPr>
      <t xml:space="preserve">Source: </t>
    </r>
    <r>
      <rPr>
        <sz val="11"/>
        <rFont val="Calibri"/>
        <family val="2"/>
      </rPr>
      <t>American Community Survey 2006-2010</t>
    </r>
  </si>
  <si>
    <r>
      <rPr>
        <b/>
        <sz val="11"/>
        <rFont val="Calibri"/>
        <family val="2"/>
      </rPr>
      <t xml:space="preserve">Source: </t>
    </r>
    <r>
      <rPr>
        <sz val="11"/>
        <rFont val="Calibri"/>
        <family val="2"/>
      </rPr>
      <t>American Community Survey 2005-2009</t>
    </r>
  </si>
  <si>
    <r>
      <rPr>
        <b/>
        <sz val="11"/>
        <rFont val="Calibri"/>
        <family val="2"/>
      </rPr>
      <t xml:space="preserve">Source: </t>
    </r>
    <r>
      <rPr>
        <sz val="11"/>
        <rFont val="Calibri"/>
        <family val="2"/>
      </rPr>
      <t>American Community Survey 2006-2008</t>
    </r>
  </si>
  <si>
    <r>
      <rPr>
        <b/>
        <sz val="11"/>
        <rFont val="Calibri"/>
        <family val="2"/>
      </rPr>
      <t xml:space="preserve">Source: </t>
    </r>
    <r>
      <rPr>
        <sz val="11"/>
        <rFont val="Calibri"/>
        <family val="2"/>
      </rPr>
      <t>American Community Survey 2005-2007</t>
    </r>
  </si>
  <si>
    <t xml:space="preserve"> www.eia.gov</t>
  </si>
  <si>
    <t>www.eia.gov</t>
  </si>
  <si>
    <r>
      <rPr>
        <b/>
        <sz val="11"/>
        <color theme="1"/>
        <rFont val="Calibri"/>
        <family val="2"/>
        <scheme val="minor"/>
      </rPr>
      <t xml:space="preserve">Source: </t>
    </r>
    <r>
      <rPr>
        <sz val="11"/>
        <color theme="1"/>
        <rFont val="Calibri"/>
        <family val="2"/>
        <scheme val="minor"/>
      </rPr>
      <t>Garry Simmons, Appalachian Electric Power</t>
    </r>
  </si>
  <si>
    <r>
      <t xml:space="preserve">Source: </t>
    </r>
    <r>
      <rPr>
        <sz val="11"/>
        <rFont val="Calibri"/>
        <family val="2"/>
      </rPr>
      <t>Planet Footprint - The Environmental Scorekeeper</t>
    </r>
  </si>
  <si>
    <r>
      <rPr>
        <b/>
        <sz val="11"/>
        <rFont val="Calibri"/>
        <family val="2"/>
      </rPr>
      <t>Source</t>
    </r>
    <r>
      <rPr>
        <sz val="11"/>
        <rFont val="Calibri"/>
        <family val="2"/>
      </rPr>
      <t>: Robert Dellinger, Virginia Tech Electric Service</t>
    </r>
  </si>
  <si>
    <r>
      <rPr>
        <b/>
        <sz val="11"/>
        <color theme="1"/>
        <rFont val="Calibri"/>
        <family val="2"/>
        <scheme val="minor"/>
      </rPr>
      <t>Source</t>
    </r>
    <r>
      <rPr>
        <sz val="11"/>
        <color theme="1"/>
        <rFont val="Calibri"/>
        <family val="2"/>
        <scheme val="minor"/>
      </rPr>
      <t>: Matt Stolte, Town of Blacksburg</t>
    </r>
  </si>
  <si>
    <r>
      <rPr>
        <b/>
        <sz val="11"/>
        <color theme="1"/>
        <rFont val="Calibri"/>
        <family val="2"/>
        <scheme val="minor"/>
      </rPr>
      <t>Source:</t>
    </r>
    <r>
      <rPr>
        <sz val="11"/>
        <color theme="1"/>
        <rFont val="Calibri"/>
        <family val="2"/>
        <scheme val="minor"/>
      </rPr>
      <t xml:space="preserve"> Karen Day, Town of Blacksburg</t>
    </r>
  </si>
  <si>
    <r>
      <t>Source:</t>
    </r>
    <r>
      <rPr>
        <sz val="11"/>
        <color theme="1"/>
        <rFont val="Calibri"/>
        <family val="2"/>
        <scheme val="minor"/>
      </rPr>
      <t xml:space="preserve"> ICLEI Community Protocol, Appendix D: Transportation and other Mobile Emission Activities and Sources</t>
    </r>
  </si>
  <si>
    <t>Public Authority</t>
  </si>
  <si>
    <t>Inn at Virginia Tech</t>
  </si>
  <si>
    <t>Table 6.5  Natural Gas Consumption by Sector, 1949-2011</t>
  </si>
  <si>
    <t>                     (Million Cubic Feet)</t>
  </si>
  <si>
    <t>Year</t>
  </si>
  <si>
    <t>Commercial Sector</t>
  </si>
  <si>
    <t>Industrial Sector</t>
  </si>
  <si>
    <t>Transportation Sector</t>
  </si>
  <si>
    <r>
      <t>Electric Power Sector </t>
    </r>
    <r>
      <rPr>
        <vertAlign val="superscript"/>
        <sz val="5"/>
        <color theme="1"/>
        <rFont val="Arial"/>
        <family val="2"/>
      </rPr>
      <t>1</t>
    </r>
  </si>
  <si>
    <r>
      <t>CHP </t>
    </r>
    <r>
      <rPr>
        <vertAlign val="superscript"/>
        <sz val="5"/>
        <color theme="1"/>
        <rFont val="Arial"/>
        <family val="2"/>
      </rPr>
      <t>2</t>
    </r>
  </si>
  <si>
    <r>
      <t>Other </t>
    </r>
    <r>
      <rPr>
        <vertAlign val="superscript"/>
        <sz val="5"/>
        <color theme="1"/>
        <rFont val="Arial"/>
        <family val="2"/>
      </rPr>
      <t>3</t>
    </r>
  </si>
  <si>
    <t>Other Industrial</t>
  </si>
  <si>
    <r>
      <t>Pipelines </t>
    </r>
    <r>
      <rPr>
        <vertAlign val="superscript"/>
        <sz val="5"/>
        <color theme="1"/>
        <rFont val="Arial"/>
        <family val="2"/>
      </rPr>
      <t>6</t>
    </r>
  </si>
  <si>
    <t>CHP</t>
  </si>
  <si>
    <t>Lease and</t>
  </si>
  <si>
    <t>and Dis-</t>
  </si>
  <si>
    <t>Vehicle</t>
  </si>
  <si>
    <t>Plant Fuel</t>
  </si>
  <si>
    <r>
      <t>CHP </t>
    </r>
    <r>
      <rPr>
        <vertAlign val="superscript"/>
        <sz val="5"/>
        <color theme="1"/>
        <rFont val="Arial"/>
        <family val="2"/>
      </rPr>
      <t>4</t>
    </r>
  </si>
  <si>
    <r>
      <t>Non-CHP </t>
    </r>
    <r>
      <rPr>
        <vertAlign val="superscript"/>
        <sz val="5"/>
        <color theme="1"/>
        <rFont val="Arial"/>
        <family val="2"/>
      </rPr>
      <t>5</t>
    </r>
  </si>
  <si>
    <r>
      <t>tribution </t>
    </r>
    <r>
      <rPr>
        <vertAlign val="superscript"/>
        <sz val="5"/>
        <color theme="1"/>
        <rFont val="Arial"/>
        <family val="2"/>
      </rPr>
      <t>7</t>
    </r>
  </si>
  <si>
    <r>
      <t>Fuel </t>
    </r>
    <r>
      <rPr>
        <vertAlign val="superscript"/>
        <sz val="5"/>
        <color theme="1"/>
        <rFont val="Arial"/>
        <family val="2"/>
      </rPr>
      <t>8</t>
    </r>
  </si>
  <si>
    <t>Only</t>
  </si>
  <si>
    <t>[9]</t>
  </si>
  <si>
    <t>[10]</t>
  </si>
  <si>
    <t>NA</t>
  </si>
  <si>
    <t>[11]</t>
  </si>
  <si>
    <t>[R]</t>
  </si>
  <si>
    <r>
      <t>2011</t>
    </r>
    <r>
      <rPr>
        <vertAlign val="superscript"/>
        <sz val="5"/>
        <color theme="1"/>
        <rFont val="Arial"/>
        <family val="2"/>
      </rPr>
      <t>P</t>
    </r>
  </si>
  <si>
    <r>
      <t>1</t>
    </r>
    <r>
      <rPr>
        <sz val="7"/>
        <color theme="1"/>
        <rFont val="Arial"/>
        <family val="2"/>
      </rPr>
      <t>Electricity-only and combined-heat-and-power (CHP) plants within the NAICS 22 category whose primary</t>
    </r>
  </si>
  <si>
    <r>
      <t>9</t>
    </r>
    <r>
      <rPr>
        <sz val="7"/>
        <color theme="1"/>
        <rFont val="Arial"/>
        <family val="2"/>
      </rPr>
      <t>Included in "Commercial Other."</t>
    </r>
  </si>
  <si>
    <t>business is to sell electricity, or electricity and heat, to the public.  Through 1988, data are for electric utilities</t>
  </si>
  <si>
    <t>only; beginning in 1989, data are for electric utilities and independent power producers.  Electric utility CHP</t>
  </si>
  <si>
    <t>plants are included in "Electricity Only."</t>
  </si>
  <si>
    <r>
      <t>2</t>
    </r>
    <r>
      <rPr>
        <sz val="7"/>
        <color theme="1"/>
        <rFont val="Arial"/>
        <family val="2"/>
      </rPr>
      <t>Commercial combined-heat-and-power (CHP) and a small number of commercial electricity-only plants.</t>
    </r>
  </si>
  <si>
    <r>
      <t>10</t>
    </r>
    <r>
      <rPr>
        <sz val="7"/>
        <color theme="1"/>
        <rFont val="Arial"/>
        <family val="2"/>
      </rPr>
      <t>Included in "Industrial Non-CHP."</t>
    </r>
  </si>
  <si>
    <r>
      <t>3</t>
    </r>
    <r>
      <rPr>
        <sz val="7"/>
        <color theme="1"/>
        <rFont val="Arial"/>
        <family val="2"/>
      </rPr>
      <t>All commercial sector fuel use other than that in "Commercial CHP."</t>
    </r>
  </si>
  <si>
    <r>
      <t>11</t>
    </r>
    <r>
      <rPr>
        <sz val="7"/>
        <color theme="1"/>
        <rFont val="Arial"/>
        <family val="2"/>
      </rPr>
      <t>For 19891992, a small amount of consumption at independent power producers may be counted in both</t>
    </r>
  </si>
  <si>
    <t>"Other Industrial" and "Electric Power Sector."  See Note 3, "Natural Gas Consumption, 19891992," at end of</t>
  </si>
  <si>
    <t>section.</t>
  </si>
  <si>
    <r>
      <t>4</t>
    </r>
    <r>
      <rPr>
        <sz val="7"/>
        <color theme="1"/>
        <rFont val="Arial"/>
        <family val="2"/>
      </rPr>
      <t>Industrial combined-heat-and-power (CHP) and a small number of industrial electricity-only plants.</t>
    </r>
  </si>
  <si>
    <t>R=Revised.  P=Preliminary.  NA=Not available.  (s)=Less than 0.5 billion cubic feet.  </t>
  </si>
  <si>
    <r>
      <t>5</t>
    </r>
    <r>
      <rPr>
        <sz val="7"/>
        <color theme="1"/>
        <rFont val="Arial"/>
        <family val="2"/>
      </rPr>
      <t>All industrial sector fuel use other than that in "Lease and Plant Fuel" and "Industrial CHP."</t>
    </r>
  </si>
  <si>
    <r>
      <t>Notes:  </t>
    </r>
    <r>
      <rPr>
        <sz val="7"/>
        <color theme="1"/>
        <rFont val="Symbol"/>
        <family val="1"/>
        <charset val="2"/>
      </rPr>
      <t>·</t>
    </r>
    <r>
      <rPr>
        <sz val="7"/>
        <color theme="1"/>
        <rFont val="Arial"/>
        <family val="2"/>
      </rPr>
      <t>  Data are for natural gas, plus a small amount of supplemental gaseous fuels.  See Note 1,</t>
    </r>
  </si>
  <si>
    <r>
      <t>"Supplemental Gaseous Fuels," at end of section.  </t>
    </r>
    <r>
      <rPr>
        <sz val="7"/>
        <color theme="1"/>
        <rFont val="Symbol"/>
        <family val="1"/>
        <charset val="2"/>
      </rPr>
      <t>·</t>
    </r>
    <r>
      <rPr>
        <sz val="7"/>
        <color theme="1"/>
        <rFont val="Arial"/>
        <family val="2"/>
      </rPr>
      <t>  See Tables 8.5a8.5d for the amount of natural gas used</t>
    </r>
  </si>
  <si>
    <t>to produce electricity and Tables 8.6a8.6c for the amount of natural gas used to produce useful thermal output. </t>
  </si>
  <si>
    <r>
      <t>·</t>
    </r>
    <r>
      <rPr>
        <sz val="7"/>
        <color theme="1"/>
        <rFont val="Arial"/>
        <family val="2"/>
      </rPr>
      <t>  See Note 2, "Natural Gas Consumption," at end of section.  </t>
    </r>
    <r>
      <rPr>
        <sz val="7"/>
        <color theme="1"/>
        <rFont val="Symbol"/>
        <family val="1"/>
        <charset val="2"/>
      </rPr>
      <t>·</t>
    </r>
    <r>
      <rPr>
        <sz val="7"/>
        <color theme="1"/>
        <rFont val="Arial"/>
        <family val="2"/>
      </rPr>
      <t>  Beginning with 1965, all volumes are shown on</t>
    </r>
  </si>
  <si>
    <r>
      <t>a pressure base of 14.73 p.s.i.a. at 60</t>
    </r>
    <r>
      <rPr>
        <sz val="7"/>
        <color theme="1"/>
        <rFont val="Symbol"/>
        <family val="1"/>
        <charset val="2"/>
      </rPr>
      <t>° </t>
    </r>
    <r>
      <rPr>
        <sz val="7"/>
        <color theme="1"/>
        <rFont val="Arial"/>
        <family val="2"/>
      </rPr>
      <t>F.  For prior years, the pressure base was 14.65 p.s.i.a. at 60</t>
    </r>
    <r>
      <rPr>
        <sz val="7"/>
        <color theme="1"/>
        <rFont val="Symbol"/>
        <family val="1"/>
        <charset val="2"/>
      </rPr>
      <t>° </t>
    </r>
    <r>
      <rPr>
        <sz val="7"/>
        <color theme="1"/>
        <rFont val="Arial"/>
        <family val="2"/>
      </rPr>
      <t>F.  </t>
    </r>
    <r>
      <rPr>
        <sz val="7"/>
        <color theme="1"/>
        <rFont val="Symbol"/>
        <family val="1"/>
        <charset val="2"/>
      </rPr>
      <t>·</t>
    </r>
    <r>
      <rPr>
        <sz val="7"/>
        <color theme="1"/>
        <rFont val="Arial"/>
        <family val="2"/>
      </rPr>
      <t> </t>
    </r>
  </si>
  <si>
    <t>Totals may not equal sum of components due to independent rounding.</t>
  </si>
  <si>
    <r>
      <t>6</t>
    </r>
    <r>
      <rPr>
        <sz val="7"/>
        <color theme="1"/>
        <rFont val="Arial"/>
        <family val="2"/>
      </rPr>
      <t>Natural gas consumed in the operation of pipelines, primarily in compressors.</t>
    </r>
  </si>
  <si>
    <t>Web Pages:  ·  See http://www.eia.gov/totalenergy/data/monthly/#naturalgas for updated monthly and annual</t>
  </si>
  <si>
    <t>data.  ·  See http://www.eia.gov/naturalgas/ for related information.</t>
  </si>
  <si>
    <r>
      <t>7</t>
    </r>
    <r>
      <rPr>
        <sz val="7"/>
        <color theme="1"/>
        <rFont val="Arial"/>
        <family val="2"/>
      </rPr>
      <t>Natural gas used as fuel in the delivery of natural gas to consumers.</t>
    </r>
  </si>
  <si>
    <r>
      <t>Sources:  </t>
    </r>
    <r>
      <rPr>
        <b/>
        <sz val="7"/>
        <color theme="1"/>
        <rFont val="Arial"/>
        <family val="2"/>
      </rPr>
      <t>Residential, Commercial Total, Lease and Plant Fuel, Other Industrial Total, </t>
    </r>
    <r>
      <rPr>
        <sz val="7"/>
        <color theme="1"/>
        <rFont val="Arial"/>
        <family val="2"/>
      </rPr>
      <t>and </t>
    </r>
    <r>
      <rPr>
        <b/>
        <sz val="7"/>
        <color theme="1"/>
        <rFont val="Arial"/>
        <family val="2"/>
      </rPr>
      <t>Pipelines</t>
    </r>
  </si>
  <si>
    <r>
      <t>and Distribution:  </t>
    </r>
    <r>
      <rPr>
        <sz val="7"/>
        <color theme="1"/>
        <rFont val="Symbol"/>
        <family val="1"/>
        <charset val="2"/>
      </rPr>
      <t>·</t>
    </r>
    <r>
      <rPr>
        <sz val="7"/>
        <color theme="1"/>
        <rFont val="Arial"/>
        <family val="2"/>
      </rPr>
      <t>  1949-2006U.S. Energy Information Administration (EIA), </t>
    </r>
    <r>
      <rPr>
        <i/>
        <sz val="7"/>
        <color theme="1"/>
        <rFont val="Arial"/>
        <family val="2"/>
      </rPr>
      <t>Natural Gas Annual (NGA),</t>
    </r>
  </si>
  <si>
    <r>
      <t>annual reports and unpublished revisions.  </t>
    </r>
    <r>
      <rPr>
        <sz val="7"/>
        <color theme="1"/>
        <rFont val="Symbol"/>
        <family val="1"/>
        <charset val="2"/>
      </rPr>
      <t>·</t>
    </r>
    <r>
      <rPr>
        <sz val="7"/>
        <color theme="1"/>
        <rFont val="Arial"/>
        <family val="2"/>
      </rPr>
      <t>  2007 forwardEIA, </t>
    </r>
    <r>
      <rPr>
        <i/>
        <sz val="7"/>
        <color theme="1"/>
        <rFont val="Arial"/>
        <family val="2"/>
      </rPr>
      <t>Natural Gas Monthly (NGM) </t>
    </r>
    <r>
      <rPr>
        <sz val="7"/>
        <color theme="1"/>
        <rFont val="Arial"/>
        <family val="2"/>
      </rPr>
      <t>(March 2012),</t>
    </r>
  </si>
  <si>
    <r>
      <t>Table 2.  </t>
    </r>
    <r>
      <rPr>
        <b/>
        <sz val="7"/>
        <color theme="1"/>
        <rFont val="Arial"/>
        <family val="2"/>
      </rPr>
      <t>Commercial CHP </t>
    </r>
    <r>
      <rPr>
        <sz val="7"/>
        <color theme="1"/>
        <rFont val="Arial"/>
        <family val="2"/>
      </rPr>
      <t>and </t>
    </r>
    <r>
      <rPr>
        <b/>
        <sz val="7"/>
        <color theme="1"/>
        <rFont val="Arial"/>
        <family val="2"/>
      </rPr>
      <t>Industrial CHP:  </t>
    </r>
    <r>
      <rPr>
        <sz val="7"/>
        <color theme="1"/>
        <rFont val="Arial"/>
        <family val="2"/>
      </rPr>
      <t>Table 8.7c.  </t>
    </r>
    <r>
      <rPr>
        <b/>
        <sz val="7"/>
        <color theme="1"/>
        <rFont val="Arial"/>
        <family val="2"/>
      </rPr>
      <t>Vehicle Fuel:  </t>
    </r>
    <r>
      <rPr>
        <sz val="7"/>
        <color theme="1"/>
        <rFont val="Symbol"/>
        <family val="1"/>
        <charset val="2"/>
      </rPr>
      <t>·</t>
    </r>
    <r>
      <rPr>
        <sz val="7"/>
        <color theme="1"/>
        <rFont val="Arial"/>
        <family val="2"/>
      </rPr>
      <t>  1990 and 1991EIA, NGA</t>
    </r>
  </si>
  <si>
    <r>
      <t>2000 (November 2001), Table 95.  </t>
    </r>
    <r>
      <rPr>
        <sz val="7"/>
        <color theme="1"/>
        <rFont val="Symbol"/>
        <family val="1"/>
        <charset val="2"/>
      </rPr>
      <t>·</t>
    </r>
    <r>
      <rPr>
        <sz val="7"/>
        <color theme="1"/>
        <rFont val="Arial"/>
        <family val="2"/>
      </rPr>
      <t>  1992-1998EIA, "Alternatives to Traditional Transportation Fuels 1999"</t>
    </r>
  </si>
  <si>
    <t>(October 1999), Table 10, and "Alternatives to Traditional Transportation Fuels 2003" (February 2004), Table 10.</t>
  </si>
  <si>
    <t> Data for compressed natural gas and liquefied natural gas in gasoline-equivalent gallons were converted to</t>
  </si>
  <si>
    <t>cubic feet by multiplying by the motor gasoline conversion factor (see Table A3) and dividing by the natural gas</t>
  </si>
  <si>
    <t>end-use sectors conversion factor (see Table A4).</t>
  </si>
  <si>
    <r>
      <t>·</t>
    </r>
    <r>
      <rPr>
        <sz val="7"/>
        <color theme="1"/>
        <rFont val="Arial"/>
        <family val="2"/>
      </rPr>
      <t>  1999-2006EIA, NGA, annual reports.  </t>
    </r>
    <r>
      <rPr>
        <sz val="7"/>
        <color theme="1"/>
        <rFont val="Symbol"/>
        <family val="1"/>
        <charset val="2"/>
      </rPr>
      <t>·</t>
    </r>
    <r>
      <rPr>
        <sz val="7"/>
        <color theme="1"/>
        <rFont val="Arial"/>
        <family val="2"/>
      </rPr>
      <t>  2007 forwardEIA, NGM (March 2012), Table 2.  </t>
    </r>
    <r>
      <rPr>
        <b/>
        <sz val="7"/>
        <color theme="1"/>
        <rFont val="Arial"/>
        <family val="2"/>
      </rPr>
      <t>Electric Power</t>
    </r>
  </si>
  <si>
    <r>
      <t>Sector:  </t>
    </r>
    <r>
      <rPr>
        <sz val="7"/>
        <color theme="1"/>
        <rFont val="Arial"/>
        <family val="2"/>
      </rPr>
      <t>Tables 8.5b, 8.5c, 8.6b, and 8.7b.  </t>
    </r>
    <r>
      <rPr>
        <b/>
        <sz val="7"/>
        <color theme="1"/>
        <rFont val="Arial"/>
        <family val="2"/>
      </rPr>
      <t>All Other Data:  </t>
    </r>
    <r>
      <rPr>
        <sz val="7"/>
        <color theme="1"/>
        <rFont val="Arial"/>
        <family val="2"/>
      </rPr>
      <t>Calculated.</t>
    </r>
  </si>
  <si>
    <r>
      <t>8</t>
    </r>
    <r>
      <rPr>
        <sz val="7"/>
        <color theme="1"/>
        <rFont val="Arial"/>
        <family val="2"/>
      </rPr>
      <t>Vehicle fuel data do not reflect revised data shown in Table 10.5.  See Note 4, "Natural Gas Vehicle Fuel,"</t>
    </r>
  </si>
  <si>
    <t>at end of section.</t>
  </si>
  <si>
    <t>Res + Apts.</t>
  </si>
  <si>
    <t>Estimated Apartments</t>
  </si>
  <si>
    <t>Region</t>
  </si>
  <si>
    <t>Office</t>
  </si>
  <si>
    <t>Town</t>
  </si>
  <si>
    <t>Premise</t>
  </si>
  <si>
    <t>Customer</t>
  </si>
  <si>
    <t>Status</t>
  </si>
  <si>
    <t>Service</t>
  </si>
  <si>
    <t>Rate</t>
  </si>
  <si>
    <t>Name</t>
  </si>
  <si>
    <t>Address</t>
  </si>
  <si>
    <t>City</t>
  </si>
  <si>
    <t>Zip</t>
  </si>
  <si>
    <t>Meter</t>
  </si>
  <si>
    <t>UOMS</t>
  </si>
  <si>
    <t>Pressure</t>
  </si>
  <si>
    <t>Delivery</t>
  </si>
  <si>
    <t>Type</t>
  </si>
  <si>
    <t>Class</t>
  </si>
  <si>
    <t>Usage</t>
  </si>
  <si>
    <t>DOS</t>
  </si>
  <si>
    <t>East Tenn / VA</t>
  </si>
  <si>
    <t>RADFORD</t>
  </si>
  <si>
    <t>BLKB</t>
  </si>
  <si>
    <t>A</t>
  </si>
  <si>
    <t>BLACKSBURG</t>
  </si>
  <si>
    <t>MCF</t>
  </si>
  <si>
    <t>24061-0100</t>
  </si>
  <si>
    <t>TRAG</t>
  </si>
  <si>
    <t>THE INN AT VA TECH &amp; SKELTON CONF CNTR</t>
  </si>
  <si>
    <t>901 PRICES FORK RD</t>
  </si>
  <si>
    <t>V630</t>
  </si>
  <si>
    <t>VT Buildings (Including Inn)</t>
  </si>
  <si>
    <t>VT Buildings without Inn</t>
  </si>
  <si>
    <t>Com without VT Buildings</t>
  </si>
  <si>
    <t>Res + Com without VT Buildings</t>
  </si>
  <si>
    <t>Nationwide Res / (Res+Com)</t>
  </si>
  <si>
    <t>Com without VT Buildings or Apts.</t>
  </si>
  <si>
    <t>Ind + Trans without VT Steam and Inn</t>
  </si>
  <si>
    <t>Apartments (Estimated)</t>
  </si>
  <si>
    <t>ATMOS Commercial</t>
  </si>
  <si>
    <t>Inventory Category</t>
  </si>
  <si>
    <t>ATMOS / VT Categories</t>
  </si>
  <si>
    <t>ATMOS Residential</t>
  </si>
  <si>
    <r>
      <t xml:space="preserve"> VT Buildings</t>
    </r>
    <r>
      <rPr>
        <vertAlign val="subscript"/>
        <sz val="11"/>
        <color theme="1"/>
        <rFont val="Calibri"/>
        <family val="2"/>
        <scheme val="minor"/>
      </rPr>
      <t>2</t>
    </r>
    <r>
      <rPr>
        <sz val="11"/>
        <color theme="1"/>
        <rFont val="Calibri"/>
        <family val="2"/>
        <scheme val="minor"/>
      </rPr>
      <t xml:space="preserve"> (without Inn)</t>
    </r>
  </si>
  <si>
    <r>
      <t>VT Buildings</t>
    </r>
    <r>
      <rPr>
        <sz val="11"/>
        <color theme="1"/>
        <rFont val="Calibri"/>
        <family val="2"/>
        <scheme val="minor"/>
      </rPr>
      <t xml:space="preserve"> (including Inn)</t>
    </r>
  </si>
  <si>
    <r>
      <t>Commercial</t>
    </r>
    <r>
      <rPr>
        <vertAlign val="subscript"/>
        <sz val="11"/>
        <color theme="1"/>
        <rFont val="Calibri"/>
        <family val="2"/>
        <scheme val="minor"/>
      </rPr>
      <t>2</t>
    </r>
    <r>
      <rPr>
        <sz val="11"/>
        <color theme="1"/>
        <rFont val="Calibri"/>
        <family val="2"/>
        <scheme val="minor"/>
      </rPr>
      <t xml:space="preserve"> (without VT Buildings</t>
    </r>
    <r>
      <rPr>
        <vertAlign val="subscript"/>
        <sz val="11"/>
        <color theme="1"/>
        <rFont val="Calibri"/>
        <family val="2"/>
        <scheme val="minor"/>
      </rPr>
      <t>2</t>
    </r>
    <r>
      <rPr>
        <sz val="11"/>
        <color theme="1"/>
        <rFont val="Calibri"/>
        <family val="2"/>
        <scheme val="minor"/>
      </rPr>
      <t>)</t>
    </r>
  </si>
  <si>
    <r>
      <t>ATMOS Residential + Commercial</t>
    </r>
    <r>
      <rPr>
        <vertAlign val="subscript"/>
        <sz val="11"/>
        <color theme="1"/>
        <rFont val="Calibri"/>
        <family val="2"/>
        <scheme val="minor"/>
      </rPr>
      <t>2</t>
    </r>
  </si>
  <si>
    <t>Nationwide: Residential / (Residential + Commercial)</t>
  </si>
  <si>
    <t>ATMOS Residential + Apartments</t>
  </si>
  <si>
    <r>
      <t>Commercial</t>
    </r>
    <r>
      <rPr>
        <vertAlign val="subscript"/>
        <sz val="11"/>
        <color theme="1"/>
        <rFont val="Calibri"/>
        <family val="2"/>
        <scheme val="minor"/>
      </rPr>
      <t>3</t>
    </r>
  </si>
  <si>
    <t>ATMOS Industrial</t>
  </si>
  <si>
    <t>ATMOS Transportation</t>
  </si>
  <si>
    <r>
      <t>Transportation</t>
    </r>
    <r>
      <rPr>
        <vertAlign val="subscript"/>
        <sz val="11"/>
        <color theme="1"/>
        <rFont val="Calibri"/>
        <family val="2"/>
        <scheme val="minor"/>
      </rPr>
      <t>2</t>
    </r>
    <r>
      <rPr>
        <sz val="11"/>
        <color theme="1"/>
        <rFont val="Calibri"/>
        <family val="2"/>
        <scheme val="minor"/>
      </rPr>
      <t xml:space="preserve"> (without VT Steam or Inn)</t>
    </r>
  </si>
  <si>
    <t>trans - steam plant</t>
  </si>
  <si>
    <t>Half-year Quantities (mcf)</t>
  </si>
  <si>
    <t>Estimated VT Buildings</t>
  </si>
  <si>
    <t>Estimated VT Steam Plant</t>
  </si>
  <si>
    <t>Actual VT Buildings (09)</t>
  </si>
  <si>
    <t>Actual VT Steam Plant (09)</t>
  </si>
  <si>
    <t>Transportation - Estimated Steam Plant</t>
  </si>
  <si>
    <t>ATMOS Transportation Total (1 mo. Delay)</t>
  </si>
  <si>
    <t>ATMOS Transportation (1 mo delay)</t>
  </si>
  <si>
    <t>Projections based on Per Capita AAGR 2004 - 2011</t>
  </si>
  <si>
    <t>Annual VMT</t>
  </si>
  <si>
    <t>Population</t>
  </si>
  <si>
    <t>Per Capita VMT</t>
  </si>
  <si>
    <t>Per Capita VMT AAGR:</t>
  </si>
  <si>
    <t>CO2-e Emissions (kg)</t>
  </si>
  <si>
    <t>BU</t>
  </si>
  <si>
    <t>Town Name</t>
  </si>
  <si>
    <t>Current</t>
  </si>
  <si>
    <t>Read</t>
  </si>
  <si>
    <t>Method</t>
  </si>
  <si>
    <t>RP</t>
  </si>
  <si>
    <t>Ccf</t>
  </si>
  <si>
    <t>Billed</t>
  </si>
  <si>
    <t>RevMo</t>
  </si>
  <si>
    <t>Read Date</t>
  </si>
  <si>
    <t>Reading</t>
  </si>
  <si>
    <t>Heat</t>
  </si>
  <si>
    <t>Cooling</t>
  </si>
  <si>
    <t>Average</t>
  </si>
  <si>
    <t>Acutal</t>
  </si>
  <si>
    <t>% Chg</t>
  </si>
  <si>
    <t>WNA</t>
  </si>
  <si>
    <t>Base</t>
  </si>
  <si>
    <t>Minimum</t>
  </si>
  <si>
    <t>Maximum</t>
  </si>
  <si>
    <t># of</t>
  </si>
  <si>
    <t>1st</t>
  </si>
  <si>
    <t>Step</t>
  </si>
  <si>
    <t>Degree</t>
  </si>
  <si>
    <t>Temp</t>
  </si>
  <si>
    <t>Amt</t>
  </si>
  <si>
    <t>Last Mo</t>
  </si>
  <si>
    <t>Last Year</t>
  </si>
  <si>
    <t>Adj Usage</t>
  </si>
  <si>
    <t>Factor</t>
  </si>
  <si>
    <t>Amount</t>
  </si>
  <si>
    <t>Steps</t>
  </si>
  <si>
    <t>Chg Amt</t>
  </si>
  <si>
    <t>Days</t>
  </si>
  <si>
    <t>620L</t>
  </si>
  <si>
    <t>2005-09</t>
  </si>
  <si>
    <t>Max</t>
  </si>
  <si>
    <t>2005-10</t>
  </si>
  <si>
    <t>2005-11</t>
  </si>
  <si>
    <t>2005-12</t>
  </si>
  <si>
    <t>2006-01</t>
  </si>
  <si>
    <t>2006-02</t>
  </si>
  <si>
    <t>2006-03</t>
  </si>
  <si>
    <t>2006-04</t>
  </si>
  <si>
    <t>2006-05</t>
  </si>
  <si>
    <t>2006-06</t>
  </si>
  <si>
    <t>2006-07</t>
  </si>
  <si>
    <t>2006-09</t>
  </si>
  <si>
    <t>2006-10</t>
  </si>
  <si>
    <t>2006-11</t>
  </si>
  <si>
    <t>2006-12</t>
  </si>
  <si>
    <t>2007-01</t>
  </si>
  <si>
    <t>2007-02</t>
  </si>
  <si>
    <t>2007-03</t>
  </si>
  <si>
    <t>2007-04</t>
  </si>
  <si>
    <t>2007-05</t>
  </si>
  <si>
    <t>2007-06</t>
  </si>
  <si>
    <t>2007-07</t>
  </si>
  <si>
    <t>2007-08</t>
  </si>
  <si>
    <t>2007-09</t>
  </si>
  <si>
    <t>2007-10</t>
  </si>
  <si>
    <t>2007-11</t>
  </si>
  <si>
    <t>2007-12</t>
  </si>
  <si>
    <t>2008-01</t>
  </si>
  <si>
    <t>2008-02</t>
  </si>
  <si>
    <t>2008-03</t>
  </si>
  <si>
    <t>2008-04</t>
  </si>
  <si>
    <t>2008-05</t>
  </si>
  <si>
    <t>2008-06</t>
  </si>
  <si>
    <t>2008-07</t>
  </si>
  <si>
    <t>2008-08</t>
  </si>
  <si>
    <t>2008-09</t>
  </si>
  <si>
    <t>2008-10</t>
  </si>
  <si>
    <t>2008-11</t>
  </si>
  <si>
    <t>2008-12</t>
  </si>
  <si>
    <t>2009-01</t>
  </si>
  <si>
    <t>2009-02</t>
  </si>
  <si>
    <t>2009-05</t>
  </si>
  <si>
    <t>2009-06</t>
  </si>
  <si>
    <t>2009-07</t>
  </si>
  <si>
    <t>2009-08</t>
  </si>
  <si>
    <t>2009-09</t>
  </si>
  <si>
    <t>2009-10</t>
  </si>
  <si>
    <t>2009-11</t>
  </si>
  <si>
    <t>2009-12</t>
  </si>
  <si>
    <t>2010-01</t>
  </si>
  <si>
    <t>2010-02</t>
  </si>
  <si>
    <t>2010-03</t>
  </si>
  <si>
    <t>2010-04</t>
  </si>
  <si>
    <t>2010-05</t>
  </si>
  <si>
    <t>2010-06</t>
  </si>
  <si>
    <t>2010-07</t>
  </si>
  <si>
    <t>2010-08</t>
  </si>
  <si>
    <t>2010-09</t>
  </si>
  <si>
    <t>2010-10</t>
  </si>
  <si>
    <t>2010-11</t>
  </si>
  <si>
    <t>2010-12</t>
  </si>
  <si>
    <t>2011-01</t>
  </si>
  <si>
    <t>2011-02</t>
  </si>
  <si>
    <t>2011-03</t>
  </si>
  <si>
    <t>2011-04</t>
  </si>
  <si>
    <t>2011-05</t>
  </si>
  <si>
    <t>2011-06</t>
  </si>
  <si>
    <t>2011-07</t>
  </si>
  <si>
    <t>2011-08</t>
  </si>
  <si>
    <t>2011-09</t>
  </si>
  <si>
    <t>2011-10</t>
  </si>
  <si>
    <t>2011-11</t>
  </si>
  <si>
    <t>2011-12</t>
  </si>
  <si>
    <t>2012-01</t>
  </si>
  <si>
    <t>2012-02</t>
  </si>
  <si>
    <t>2012-03</t>
  </si>
  <si>
    <t>2012-04</t>
  </si>
  <si>
    <t>2012-05</t>
  </si>
  <si>
    <t>2012-06</t>
  </si>
  <si>
    <t>2012-08</t>
  </si>
  <si>
    <t>2012-09</t>
  </si>
  <si>
    <t>2012-10</t>
  </si>
  <si>
    <t>2012-11</t>
  </si>
  <si>
    <t>2012-12</t>
  </si>
  <si>
    <t>2013-01</t>
  </si>
  <si>
    <t>2013-02</t>
  </si>
  <si>
    <t>2013-03</t>
  </si>
  <si>
    <t>2013-04</t>
  </si>
  <si>
    <t>Yearly Values (MCF)</t>
  </si>
  <si>
    <t>Adjusted Monthly Values (MCF)</t>
  </si>
  <si>
    <t>Original Data</t>
  </si>
  <si>
    <t>Total Emissions (kg CO2-e)</t>
  </si>
  <si>
    <t>Other Heating Fuels</t>
  </si>
  <si>
    <t>Transportation Fuels</t>
  </si>
  <si>
    <t>*Public Authority total edited to match 2008 value</t>
  </si>
</sst>
</file>

<file path=xl/styles.xml><?xml version="1.0" encoding="utf-8"?>
<styleSheet xmlns="http://schemas.openxmlformats.org/spreadsheetml/2006/main">
  <numFmts count="17">
    <numFmt numFmtId="8" formatCode="&quot;$&quot;#,##0.00_);[Red]\(&quot;$&quot;#,##0.00\)"/>
    <numFmt numFmtId="44" formatCode="_(&quot;$&quot;* #,##0.00_);_(&quot;$&quot;* \(#,##0.00\);_(&quot;$&quot;* &quot;-&quot;??_);_(@_)"/>
    <numFmt numFmtId="43" formatCode="_(* #,##0.00_);_(* \(#,##0.00\);_(* &quot;-&quot;??_);_(@_)"/>
    <numFmt numFmtId="164" formatCode="_(* #,##0_);_(* \(#,##0\);_(* &quot;-&quot;??_);_(@_)"/>
    <numFmt numFmtId="165" formatCode="@*."/>
    <numFmt numFmtId="166" formatCode="0.0"/>
    <numFmt numFmtId="167" formatCode="#,##0.0"/>
    <numFmt numFmtId="168" formatCode="0.00000"/>
    <numFmt numFmtId="169" formatCode="0.0000"/>
    <numFmt numFmtId="170" formatCode="0.000"/>
    <numFmt numFmtId="171" formatCode="\(\R\)\ 0.0"/>
    <numFmt numFmtId="172" formatCode="_(* #,##0.0000_);_(* \(#,##0.0000\);_(* &quot;-&quot;??_);_(@_)"/>
    <numFmt numFmtId="173" formatCode="000"/>
    <numFmt numFmtId="174" formatCode="[$-409]mmm\-yy;@"/>
    <numFmt numFmtId="175" formatCode="0.0000%"/>
    <numFmt numFmtId="176" formatCode="0_)"/>
    <numFmt numFmtId="177" formatCode="_(* #,##0.000000_);_(* \(#,##0.000000\);_(* &quot;-&quot;??_);_(@_)"/>
  </numFmts>
  <fonts count="75">
    <font>
      <sz val="11"/>
      <color theme="1"/>
      <name val="Calibri"/>
      <family val="2"/>
      <scheme val="minor"/>
    </font>
    <font>
      <sz val="11"/>
      <color theme="1"/>
      <name val="Calibri"/>
      <family val="2"/>
      <scheme val="minor"/>
    </font>
    <font>
      <b/>
      <sz val="11"/>
      <color theme="1"/>
      <name val="Calibri"/>
      <family val="2"/>
      <scheme val="minor"/>
    </font>
    <font>
      <b/>
      <u/>
      <sz val="11"/>
      <color theme="1"/>
      <name val="Calibri"/>
      <family val="2"/>
      <scheme val="minor"/>
    </font>
    <font>
      <b/>
      <sz val="10"/>
      <color indexed="10"/>
      <name val="Arial"/>
      <family val="2"/>
    </font>
    <font>
      <b/>
      <sz val="12"/>
      <name val="Arial"/>
      <family val="2"/>
    </font>
    <font>
      <sz val="10"/>
      <name val="Arial"/>
      <family val="2"/>
    </font>
    <font>
      <b/>
      <sz val="10"/>
      <name val="Arial"/>
      <family val="2"/>
    </font>
    <font>
      <u/>
      <sz val="11"/>
      <color theme="10"/>
      <name val="Calibri"/>
      <family val="2"/>
    </font>
    <font>
      <sz val="10"/>
      <color indexed="8"/>
      <name val="SansSerif"/>
    </font>
    <font>
      <sz val="8"/>
      <color indexed="23"/>
      <name val="Calibri"/>
      <family val="2"/>
      <scheme val="minor"/>
    </font>
    <font>
      <sz val="10"/>
      <color indexed="23"/>
      <name val="Calibri"/>
      <family val="2"/>
      <scheme val="minor"/>
    </font>
    <font>
      <sz val="8"/>
      <name val="Arial"/>
      <family val="2"/>
    </font>
    <font>
      <b/>
      <sz val="12"/>
      <color theme="4"/>
      <name val="Cambria"/>
      <family val="1"/>
      <scheme val="major"/>
    </font>
    <font>
      <b/>
      <sz val="9"/>
      <name val="Arial"/>
      <family val="2"/>
    </font>
    <font>
      <b/>
      <sz val="8"/>
      <name val="Arial"/>
      <family val="2"/>
    </font>
    <font>
      <vertAlign val="superscript"/>
      <sz val="10"/>
      <name val="Arial"/>
      <family val="2"/>
    </font>
    <font>
      <i/>
      <sz val="11"/>
      <color theme="1"/>
      <name val="Calibri"/>
      <family val="2"/>
      <scheme val="minor"/>
    </font>
    <font>
      <sz val="10"/>
      <color rgb="FF222222"/>
      <name val="Arial"/>
      <family val="2"/>
    </font>
    <font>
      <b/>
      <sz val="10"/>
      <color rgb="FF222222"/>
      <name val="Arial"/>
      <family val="2"/>
    </font>
    <font>
      <b/>
      <u/>
      <sz val="8.1"/>
      <color indexed="8"/>
      <name val="Times New Roman"/>
      <family val="1"/>
      <charset val="204"/>
    </font>
    <font>
      <sz val="10"/>
      <color indexed="8"/>
      <name val="Times New Roman"/>
      <family val="1"/>
      <charset val="204"/>
    </font>
    <font>
      <b/>
      <sz val="10"/>
      <color indexed="8"/>
      <name val="Times New Roman"/>
      <family val="1"/>
      <charset val="204"/>
    </font>
    <font>
      <sz val="10"/>
      <color indexed="8"/>
      <name val="Arial"/>
      <family val="2"/>
    </font>
    <font>
      <b/>
      <sz val="8.1"/>
      <color indexed="8"/>
      <name val="Times New Roman"/>
      <family val="1"/>
      <charset val="204"/>
    </font>
    <font>
      <b/>
      <u/>
      <sz val="8.1"/>
      <color indexed="8"/>
      <name val="Times New Roman"/>
      <family val="1"/>
    </font>
    <font>
      <sz val="10"/>
      <color indexed="8"/>
      <name val="Times New Roman"/>
      <family val="1"/>
    </font>
    <font>
      <b/>
      <sz val="10"/>
      <color indexed="8"/>
      <name val="Times New Roman"/>
      <family val="1"/>
    </font>
    <font>
      <b/>
      <sz val="8.1"/>
      <color indexed="8"/>
      <name val="Times New Roman"/>
      <family val="1"/>
    </font>
    <font>
      <b/>
      <vertAlign val="subscript"/>
      <sz val="11"/>
      <color theme="1"/>
      <name val="Calibri"/>
      <family val="2"/>
      <scheme val="minor"/>
    </font>
    <font>
      <b/>
      <sz val="12"/>
      <name val="Helv"/>
    </font>
    <font>
      <sz val="8"/>
      <name val="Helv"/>
    </font>
    <font>
      <b/>
      <sz val="11"/>
      <name val="Arial Narrow"/>
      <family val="2"/>
    </font>
    <font>
      <sz val="11"/>
      <name val="Arial Narrow"/>
      <family val="2"/>
    </font>
    <font>
      <vertAlign val="superscript"/>
      <sz val="11"/>
      <name val="Arial Narrow"/>
      <family val="2"/>
    </font>
    <font>
      <b/>
      <vertAlign val="superscript"/>
      <sz val="11"/>
      <name val="Arial Narrow"/>
      <family val="2"/>
    </font>
    <font>
      <sz val="9"/>
      <name val="Arial"/>
      <family val="2"/>
    </font>
    <font>
      <i/>
      <sz val="10"/>
      <name val="Arial"/>
      <family val="2"/>
    </font>
    <font>
      <vertAlign val="superscript"/>
      <sz val="9"/>
      <name val="Arial"/>
      <family val="2"/>
    </font>
    <font>
      <i/>
      <sz val="9"/>
      <name val="Arial"/>
      <family val="2"/>
    </font>
    <font>
      <sz val="11"/>
      <color theme="0"/>
      <name val="Calibri"/>
      <family val="2"/>
      <scheme val="minor"/>
    </font>
    <font>
      <b/>
      <i/>
      <sz val="11"/>
      <color theme="1"/>
      <name val="Calibri"/>
      <family val="2"/>
      <scheme val="minor"/>
    </font>
    <font>
      <sz val="10"/>
      <name val="Arial"/>
      <family val="2"/>
    </font>
    <font>
      <b/>
      <sz val="14"/>
      <color theme="1"/>
      <name val="Calibri"/>
      <family val="2"/>
      <scheme val="minor"/>
    </font>
    <font>
      <sz val="11"/>
      <name val="Calibri"/>
      <family val="2"/>
      <scheme val="minor"/>
    </font>
    <font>
      <b/>
      <sz val="10"/>
      <color indexed="8"/>
      <name val="Arial"/>
      <family val="2"/>
    </font>
    <font>
      <sz val="10"/>
      <color indexed="10"/>
      <name val="Arial"/>
      <family val="2"/>
    </font>
    <font>
      <sz val="10"/>
      <color rgb="FF000000"/>
      <name val="Verdana"/>
      <family val="2"/>
    </font>
    <font>
      <sz val="10"/>
      <name val="Courier"/>
      <family val="3"/>
    </font>
    <font>
      <sz val="11"/>
      <color rgb="FF0000FF"/>
      <name val="Calibri"/>
      <family val="2"/>
      <scheme val="minor"/>
    </font>
    <font>
      <b/>
      <sz val="11"/>
      <color rgb="FF0000FF"/>
      <name val="Calibri"/>
      <family val="2"/>
      <scheme val="minor"/>
    </font>
    <font>
      <b/>
      <sz val="11"/>
      <name val="Calibri"/>
      <family val="2"/>
      <scheme val="minor"/>
    </font>
    <font>
      <b/>
      <sz val="11"/>
      <name val="Calibri"/>
      <family val="2"/>
    </font>
    <font>
      <sz val="8"/>
      <color indexed="81"/>
      <name val="Tahoma"/>
      <family val="2"/>
    </font>
    <font>
      <b/>
      <sz val="8"/>
      <color indexed="81"/>
      <name val="Tahoma"/>
      <family val="2"/>
    </font>
    <font>
      <b/>
      <i/>
      <sz val="10"/>
      <name val="Arial"/>
      <family val="2"/>
    </font>
    <font>
      <sz val="9"/>
      <color indexed="81"/>
      <name val="Tahoma"/>
      <family val="2"/>
    </font>
    <font>
      <b/>
      <sz val="9"/>
      <color indexed="81"/>
      <name val="Tahoma"/>
      <family val="2"/>
    </font>
    <font>
      <b/>
      <u/>
      <sz val="10"/>
      <name val="Arial"/>
      <family val="2"/>
    </font>
    <font>
      <b/>
      <i/>
      <u/>
      <sz val="10"/>
      <name val="Arial"/>
      <family val="2"/>
    </font>
    <font>
      <sz val="11"/>
      <name val="Calibri"/>
      <family val="2"/>
    </font>
    <font>
      <b/>
      <sz val="12"/>
      <color theme="1"/>
      <name val="Arial"/>
      <family val="2"/>
    </font>
    <font>
      <sz val="10"/>
      <color theme="1"/>
      <name val="Arial"/>
      <family val="2"/>
    </font>
    <font>
      <b/>
      <sz val="7"/>
      <color theme="1"/>
      <name val="Arial"/>
      <family val="2"/>
    </font>
    <font>
      <vertAlign val="superscript"/>
      <sz val="5"/>
      <color theme="1"/>
      <name val="Arial"/>
      <family val="2"/>
    </font>
    <font>
      <sz val="7"/>
      <color theme="1"/>
      <name val="Arial"/>
      <family val="2"/>
    </font>
    <font>
      <sz val="5"/>
      <color theme="1"/>
      <name val="Arial"/>
      <family val="2"/>
    </font>
    <font>
      <sz val="7"/>
      <color theme="1"/>
      <name val="Symbol"/>
      <family val="1"/>
      <charset val="2"/>
    </font>
    <font>
      <i/>
      <sz val="7"/>
      <color theme="1"/>
      <name val="Arial"/>
      <family val="2"/>
    </font>
    <font>
      <b/>
      <sz val="10"/>
      <color theme="1"/>
      <name val="Arial"/>
      <family val="2"/>
    </font>
    <font>
      <u/>
      <sz val="11"/>
      <color theme="10"/>
      <name val="Calibri"/>
      <family val="2"/>
      <scheme val="minor"/>
    </font>
    <font>
      <sz val="8"/>
      <color theme="1"/>
      <name val="Arial"/>
      <family val="2"/>
    </font>
    <font>
      <sz val="16"/>
      <color theme="1"/>
      <name val="Calibri"/>
      <family val="2"/>
      <scheme val="minor"/>
    </font>
    <font>
      <vertAlign val="subscript"/>
      <sz val="11"/>
      <color theme="1"/>
      <name val="Calibri"/>
      <family val="2"/>
      <scheme val="minor"/>
    </font>
    <font>
      <sz val="7.5"/>
      <color theme="1"/>
      <name val="Arial"/>
      <family val="2"/>
    </font>
  </fonts>
  <fills count="21">
    <fill>
      <patternFill patternType="none"/>
    </fill>
    <fill>
      <patternFill patternType="gray125"/>
    </fill>
    <fill>
      <patternFill patternType="solid">
        <fgColor indexed="14"/>
        <bgColor indexed="64"/>
      </patternFill>
    </fill>
    <fill>
      <patternFill patternType="solid">
        <fgColor indexed="9"/>
        <bgColor indexed="64"/>
      </patternFill>
    </fill>
    <fill>
      <patternFill patternType="solid">
        <fgColor rgb="FFFFFF00"/>
        <bgColor indexed="64"/>
      </patternFill>
    </fill>
    <fill>
      <patternFill patternType="solid">
        <fgColor rgb="FFFFFFFF"/>
        <bgColor indexed="64"/>
      </patternFill>
    </fill>
    <fill>
      <patternFill patternType="solid">
        <fgColor rgb="FFD9D9D9"/>
        <bgColor indexed="64"/>
      </patternFill>
    </fill>
    <fill>
      <patternFill patternType="solid">
        <fgColor theme="8" tint="0.59999389629810485"/>
        <bgColor indexed="64"/>
      </patternFill>
    </fill>
    <fill>
      <patternFill patternType="solid">
        <fgColor indexed="11"/>
        <bgColor indexed="64"/>
      </patternFill>
    </fill>
    <fill>
      <patternFill patternType="solid">
        <fgColor indexed="10"/>
        <bgColor indexed="64"/>
      </patternFill>
    </fill>
    <fill>
      <patternFill patternType="solid">
        <fgColor indexed="13"/>
        <bgColor indexed="64"/>
      </patternFill>
    </fill>
    <fill>
      <patternFill patternType="solid">
        <fgColor rgb="FFFFC000"/>
        <bgColor indexed="64"/>
      </patternFill>
    </fill>
    <fill>
      <patternFill patternType="solid">
        <fgColor rgb="FFFD2727"/>
        <bgColor indexed="64"/>
      </patternFill>
    </fill>
    <fill>
      <patternFill patternType="solid">
        <fgColor rgb="FF92D050"/>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rgb="FFF0F0F0"/>
        <bgColor indexed="64"/>
      </patternFill>
    </fill>
    <fill>
      <patternFill patternType="solid">
        <fgColor rgb="FFF5DEB3"/>
        <bgColor indexed="64"/>
      </patternFill>
    </fill>
    <fill>
      <patternFill patternType="solid">
        <fgColor rgb="FFFFFFCE"/>
        <bgColor indexed="64"/>
      </patternFill>
    </fill>
    <fill>
      <patternFill patternType="solid">
        <fgColor rgb="FFCCFFFF"/>
        <bgColor indexed="64"/>
      </patternFill>
    </fill>
  </fills>
  <borders count="105">
    <border>
      <left/>
      <right/>
      <top/>
      <bottom/>
      <diagonal/>
    </border>
    <border>
      <left/>
      <right/>
      <top/>
      <bottom style="thick">
        <color theme="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style="thick">
        <color theme="4"/>
      </bottom>
      <diagonal/>
    </border>
    <border>
      <left style="thin">
        <color indexed="64"/>
      </left>
      <right style="thin">
        <color indexed="64"/>
      </right>
      <top/>
      <bottom style="thick">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8"/>
      </right>
      <top style="thin">
        <color indexed="8"/>
      </top>
      <bottom style="thin">
        <color indexed="8"/>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medium">
        <color auto="1"/>
      </bottom>
      <diagonal/>
    </border>
    <border>
      <left/>
      <right style="thick">
        <color auto="1"/>
      </right>
      <top/>
      <bottom style="medium">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medium">
        <color auto="1"/>
      </left>
      <right style="medium">
        <color auto="1"/>
      </right>
      <top style="medium">
        <color auto="1"/>
      </top>
      <bottom/>
      <diagonal/>
    </border>
    <border>
      <left style="medium">
        <color rgb="FF00B050"/>
      </left>
      <right style="medium">
        <color rgb="FF00B050"/>
      </right>
      <top style="medium">
        <color rgb="FF00B050"/>
      </top>
      <bottom style="medium">
        <color rgb="FF00B050"/>
      </bottom>
      <diagonal/>
    </border>
    <border>
      <left style="thick">
        <color rgb="FF00B050"/>
      </left>
      <right style="thick">
        <color rgb="FF00B050"/>
      </right>
      <top style="thick">
        <color rgb="FF00B050"/>
      </top>
      <bottom/>
      <diagonal/>
    </border>
    <border>
      <left style="thick">
        <color rgb="FF00B050"/>
      </left>
      <right style="thick">
        <color rgb="FF00B050"/>
      </right>
      <top/>
      <bottom style="thick">
        <color rgb="FF00B050"/>
      </bottom>
      <diagonal/>
    </border>
    <border>
      <left style="thick">
        <color rgb="FF00B050"/>
      </left>
      <right style="thick">
        <color rgb="FF00B050"/>
      </right>
      <top style="thick">
        <color rgb="FF00B050"/>
      </top>
      <bottom style="thick">
        <color rgb="FF00B050"/>
      </bottom>
      <diagonal/>
    </border>
    <border>
      <left/>
      <right style="thick">
        <color rgb="FF00B050"/>
      </right>
      <top/>
      <bottom/>
      <diagonal/>
    </border>
    <border>
      <left/>
      <right/>
      <top style="thick">
        <color rgb="FF00B050"/>
      </top>
      <bottom/>
      <diagonal/>
    </border>
    <border>
      <left style="thick">
        <color rgb="FF00B050"/>
      </left>
      <right style="thick">
        <color rgb="FF00B050"/>
      </right>
      <top/>
      <bottom/>
      <diagonal/>
    </border>
    <border>
      <left style="thick">
        <color rgb="FF00B050"/>
      </left>
      <right/>
      <top/>
      <bottom/>
      <diagonal/>
    </border>
    <border>
      <left/>
      <right style="thick">
        <color rgb="FF00B050"/>
      </right>
      <top style="thick">
        <color rgb="FF00B050"/>
      </top>
      <bottom/>
      <diagonal/>
    </border>
    <border>
      <left style="medium">
        <color auto="1"/>
      </left>
      <right/>
      <top style="thick">
        <color rgb="FF00B050"/>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10"/>
      </right>
      <top style="medium">
        <color indexed="64"/>
      </top>
      <bottom style="medium">
        <color indexed="64"/>
      </bottom>
      <diagonal/>
    </border>
    <border>
      <left style="thin">
        <color indexed="10"/>
      </left>
      <right style="thin">
        <color indexed="10"/>
      </right>
      <top style="medium">
        <color indexed="64"/>
      </top>
      <bottom style="medium">
        <color indexed="64"/>
      </bottom>
      <diagonal/>
    </border>
    <border>
      <left style="thin">
        <color indexed="10"/>
      </left>
      <right style="medium">
        <color indexed="64"/>
      </right>
      <top style="medium">
        <color indexed="64"/>
      </top>
      <bottom style="medium">
        <color indexed="64"/>
      </bottom>
      <diagonal/>
    </border>
    <border>
      <left style="thin">
        <color indexed="10"/>
      </left>
      <right style="thin">
        <color indexed="10"/>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auto="1"/>
      </left>
      <right/>
      <top/>
      <bottom style="thin">
        <color indexed="64"/>
      </bottom>
      <diagonal/>
    </border>
    <border>
      <left/>
      <right style="thick">
        <color auto="1"/>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s>
  <cellStyleXfs count="19">
    <xf numFmtId="0" fontId="0" fillId="0" borderId="0"/>
    <xf numFmtId="43" fontId="1" fillId="0" borderId="0" applyFont="0" applyFill="0" applyBorder="0" applyAlignment="0" applyProtection="0"/>
    <xf numFmtId="0" fontId="8" fillId="0" borderId="0" applyNumberFormat="0" applyFill="0" applyBorder="0" applyAlignment="0" applyProtection="0">
      <alignment vertical="top"/>
      <protection locked="0"/>
    </xf>
    <xf numFmtId="0" fontId="23" fillId="0" borderId="0">
      <alignment vertical="top"/>
    </xf>
    <xf numFmtId="0" fontId="30" fillId="0" borderId="0">
      <alignment horizontal="left"/>
    </xf>
    <xf numFmtId="0" fontId="31" fillId="0" borderId="0">
      <alignment horizontal="left"/>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9" fontId="1"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176" fontId="48" fillId="0" borderId="0"/>
    <xf numFmtId="43" fontId="6" fillId="0" borderId="0" applyFont="0" applyFill="0" applyBorder="0" applyAlignment="0" applyProtection="0"/>
    <xf numFmtId="0" fontId="6" fillId="0" borderId="0"/>
  </cellStyleXfs>
  <cellXfs count="1226">
    <xf numFmtId="0" fontId="0" fillId="0" borderId="0" xfId="0"/>
    <xf numFmtId="0" fontId="2" fillId="0" borderId="0" xfId="0" applyFont="1"/>
    <xf numFmtId="0" fontId="3" fillId="0" borderId="0" xfId="0" applyFont="1"/>
    <xf numFmtId="0" fontId="4" fillId="0" borderId="0" xfId="0" quotePrefix="1" applyFont="1"/>
    <xf numFmtId="0" fontId="0" fillId="0" borderId="0" xfId="0" quotePrefix="1"/>
    <xf numFmtId="0" fontId="0" fillId="2" borderId="0" xfId="0" quotePrefix="1" applyFill="1"/>
    <xf numFmtId="164" fontId="6" fillId="0" borderId="0" xfId="1" quotePrefix="1" applyNumberFormat="1" applyFont="1"/>
    <xf numFmtId="164" fontId="6" fillId="0" borderId="0" xfId="1" applyNumberFormat="1" applyFont="1"/>
    <xf numFmtId="164" fontId="7" fillId="0" borderId="0" xfId="1" applyNumberFormat="1" applyFont="1"/>
    <xf numFmtId="164" fontId="7" fillId="0" borderId="0" xfId="1" quotePrefix="1" applyNumberFormat="1" applyFont="1"/>
    <xf numFmtId="0" fontId="2" fillId="0" borderId="0" xfId="0" applyFont="1" applyAlignment="1">
      <alignment horizontal="center"/>
    </xf>
    <xf numFmtId="0" fontId="0" fillId="0" borderId="0" xfId="0" applyFont="1"/>
    <xf numFmtId="0" fontId="8" fillId="0" borderId="0" xfId="2" applyAlignment="1" applyProtection="1"/>
    <xf numFmtId="0" fontId="9" fillId="3" borderId="4" xfId="0" applyFont="1" applyFill="1" applyBorder="1" applyAlignment="1">
      <alignment horizontal="left" vertical="top" wrapText="1"/>
    </xf>
    <xf numFmtId="0" fontId="9" fillId="3" borderId="5" xfId="0" applyFont="1" applyFill="1" applyBorder="1" applyAlignment="1">
      <alignment horizontal="left" vertical="top" wrapText="1"/>
    </xf>
    <xf numFmtId="0" fontId="9" fillId="3" borderId="6" xfId="0" applyFont="1" applyFill="1" applyBorder="1" applyAlignment="1">
      <alignment horizontal="left" vertical="top" wrapText="1"/>
    </xf>
    <xf numFmtId="0" fontId="9" fillId="3" borderId="3" xfId="0" applyFont="1" applyFill="1" applyBorder="1" applyAlignment="1">
      <alignment horizontal="left" vertical="top" wrapText="1"/>
    </xf>
    <xf numFmtId="0" fontId="9" fillId="3" borderId="0" xfId="0" applyFont="1" applyFill="1" applyBorder="1" applyAlignment="1">
      <alignment horizontal="left" vertical="top" wrapText="1"/>
    </xf>
    <xf numFmtId="0" fontId="9" fillId="4" borderId="3" xfId="0" applyFont="1" applyFill="1" applyBorder="1" applyAlignment="1">
      <alignment horizontal="left" vertical="top" wrapText="1"/>
    </xf>
    <xf numFmtId="164" fontId="6" fillId="4" borderId="0" xfId="1" quotePrefix="1" applyNumberFormat="1" applyFont="1" applyFill="1"/>
    <xf numFmtId="164" fontId="6" fillId="4" borderId="0" xfId="1" applyNumberFormat="1" applyFont="1" applyFill="1"/>
    <xf numFmtId="49" fontId="10" fillId="0" borderId="0" xfId="0" applyNumberFormat="1" applyFont="1" applyFill="1"/>
    <xf numFmtId="0" fontId="11" fillId="0" borderId="0" xfId="0" applyFont="1" applyFill="1"/>
    <xf numFmtId="0" fontId="11" fillId="0" borderId="0" xfId="0" applyFont="1"/>
    <xf numFmtId="0" fontId="12" fillId="0" borderId="0" xfId="0" applyFont="1"/>
    <xf numFmtId="0" fontId="13" fillId="0" borderId="0" xfId="0" applyFont="1" applyAlignment="1"/>
    <xf numFmtId="0" fontId="14" fillId="0" borderId="7" xfId="0" applyFont="1" applyBorder="1" applyAlignment="1"/>
    <xf numFmtId="0" fontId="12" fillId="0" borderId="8" xfId="0" applyFont="1" applyBorder="1"/>
    <xf numFmtId="0" fontId="12" fillId="0" borderId="9" xfId="0" applyFont="1" applyBorder="1"/>
    <xf numFmtId="0" fontId="12" fillId="0" borderId="0" xfId="0" applyFont="1" applyBorder="1"/>
    <xf numFmtId="0" fontId="15" fillId="0" borderId="11" xfId="0" applyFont="1" applyBorder="1" applyAlignment="1">
      <alignment vertical="center" wrapText="1"/>
    </xf>
    <xf numFmtId="0" fontId="15" fillId="0" borderId="13" xfId="0" applyFont="1" applyBorder="1" applyAlignment="1">
      <alignment vertical="center" wrapText="1"/>
    </xf>
    <xf numFmtId="0" fontId="12" fillId="0" borderId="11" xfId="0" applyFont="1" applyBorder="1"/>
    <xf numFmtId="0" fontId="0" fillId="0" borderId="0" xfId="0" applyBorder="1"/>
    <xf numFmtId="0" fontId="15" fillId="0" borderId="9" xfId="0" applyFont="1" applyBorder="1"/>
    <xf numFmtId="0" fontId="15" fillId="0" borderId="0" xfId="0" applyFont="1" applyBorder="1"/>
    <xf numFmtId="0" fontId="15" fillId="0" borderId="11" xfId="0" applyFont="1" applyBorder="1"/>
    <xf numFmtId="0" fontId="12" fillId="0" borderId="11" xfId="0" applyFont="1" applyBorder="1" applyAlignment="1">
      <alignment horizontal="center"/>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165" fontId="15" fillId="0" borderId="0" xfId="0" applyNumberFormat="1" applyFont="1"/>
    <xf numFmtId="166" fontId="12" fillId="0" borderId="0" xfId="0" applyNumberFormat="1" applyFont="1" applyAlignment="1">
      <alignment horizontal="right" indent="1"/>
    </xf>
    <xf numFmtId="0" fontId="15" fillId="0" borderId="0" xfId="0" applyFont="1"/>
    <xf numFmtId="165" fontId="12" fillId="0" borderId="0" xfId="0" applyNumberFormat="1" applyFont="1" applyAlignment="1">
      <alignment horizontal="left" indent="1"/>
    </xf>
    <xf numFmtId="165" fontId="12" fillId="0" borderId="0" xfId="0" applyNumberFormat="1" applyFont="1" applyAlignment="1">
      <alignment horizontal="left" indent="2"/>
    </xf>
    <xf numFmtId="0" fontId="0" fillId="0" borderId="7" xfId="0" applyBorder="1"/>
    <xf numFmtId="166" fontId="12" fillId="0" borderId="7" xfId="0" applyNumberFormat="1" applyFont="1" applyBorder="1" applyAlignment="1">
      <alignment horizontal="right" indent="1"/>
    </xf>
    <xf numFmtId="4" fontId="0" fillId="0" borderId="0" xfId="0" applyNumberFormat="1"/>
    <xf numFmtId="0" fontId="0" fillId="0" borderId="0" xfId="0" applyAlignment="1">
      <alignment wrapText="1"/>
    </xf>
    <xf numFmtId="0" fontId="2" fillId="0" borderId="0" xfId="0" applyFont="1" applyAlignment="1">
      <alignment wrapText="1"/>
    </xf>
    <xf numFmtId="0" fontId="0" fillId="4" borderId="0" xfId="0" applyFill="1"/>
    <xf numFmtId="165" fontId="12" fillId="4" borderId="0" xfId="0" applyNumberFormat="1" applyFont="1" applyFill="1" applyAlignment="1">
      <alignment horizontal="left" indent="1"/>
    </xf>
    <xf numFmtId="166" fontId="12" fillId="4" borderId="0" xfId="0" applyNumberFormat="1" applyFont="1" applyFill="1" applyAlignment="1">
      <alignment horizontal="right" indent="1"/>
    </xf>
    <xf numFmtId="164" fontId="2" fillId="0" borderId="0" xfId="0" applyNumberFormat="1" applyFont="1"/>
    <xf numFmtId="164" fontId="2" fillId="4" borderId="0" xfId="0" applyNumberFormat="1" applyFont="1" applyFill="1"/>
    <xf numFmtId="0" fontId="0" fillId="0" borderId="0" xfId="0" applyAlignment="1">
      <alignment horizontal="center"/>
    </xf>
    <xf numFmtId="0" fontId="2" fillId="0" borderId="10" xfId="0" applyFont="1" applyBorder="1"/>
    <xf numFmtId="0" fontId="2" fillId="0" borderId="8" xfId="0" applyFont="1" applyBorder="1"/>
    <xf numFmtId="0" fontId="0" fillId="0" borderId="13" xfId="0" applyBorder="1" applyAlignment="1">
      <alignment horizontal="right"/>
    </xf>
    <xf numFmtId="0" fontId="0" fillId="0" borderId="12" xfId="0" applyBorder="1" applyAlignment="1">
      <alignment horizontal="right"/>
    </xf>
    <xf numFmtId="3" fontId="0" fillId="0" borderId="13" xfId="0" applyNumberFormat="1" applyFont="1" applyBorder="1" applyAlignment="1"/>
    <xf numFmtId="0" fontId="0" fillId="0" borderId="0" xfId="0" applyBorder="1" applyAlignment="1"/>
    <xf numFmtId="3" fontId="0" fillId="0" borderId="12" xfId="0" applyNumberFormat="1" applyFont="1" applyBorder="1" applyAlignment="1"/>
    <xf numFmtId="0" fontId="0" fillId="0" borderId="7" xfId="0" applyBorder="1" applyAlignment="1"/>
    <xf numFmtId="164" fontId="0" fillId="0" borderId="13" xfId="1" applyNumberFormat="1" applyFont="1" applyBorder="1"/>
    <xf numFmtId="164" fontId="0" fillId="0" borderId="12" xfId="1" applyNumberFormat="1" applyFont="1" applyBorder="1"/>
    <xf numFmtId="43" fontId="0" fillId="0" borderId="13" xfId="0" applyNumberFormat="1" applyBorder="1"/>
    <xf numFmtId="0" fontId="0" fillId="0" borderId="14" xfId="0" applyBorder="1"/>
    <xf numFmtId="43" fontId="0" fillId="0" borderId="12" xfId="0" applyNumberFormat="1" applyBorder="1"/>
    <xf numFmtId="0" fontId="0" fillId="0" borderId="16" xfId="0" applyBorder="1"/>
    <xf numFmtId="0" fontId="0" fillId="0" borderId="8" xfId="0" applyBorder="1"/>
    <xf numFmtId="0" fontId="0" fillId="0" borderId="15" xfId="0" applyBorder="1"/>
    <xf numFmtId="0" fontId="0" fillId="0" borderId="13" xfId="0" applyBorder="1"/>
    <xf numFmtId="0" fontId="0" fillId="0" borderId="21" xfId="0" applyBorder="1"/>
    <xf numFmtId="0" fontId="0" fillId="0" borderId="19" xfId="0" applyBorder="1"/>
    <xf numFmtId="0" fontId="0" fillId="0" borderId="11" xfId="0" applyBorder="1"/>
    <xf numFmtId="0" fontId="17" fillId="0" borderId="21" xfId="0" applyFont="1" applyBorder="1"/>
    <xf numFmtId="3" fontId="0" fillId="0" borderId="0" xfId="0" applyNumberFormat="1" applyBorder="1" applyAlignment="1">
      <alignment horizontal="center"/>
    </xf>
    <xf numFmtId="3" fontId="0" fillId="0" borderId="13" xfId="0" applyNumberFormat="1" applyBorder="1" applyAlignment="1">
      <alignment horizontal="center"/>
    </xf>
    <xf numFmtId="164" fontId="17" fillId="0" borderId="14" xfId="1" applyNumberFormat="1" applyFont="1" applyBorder="1"/>
    <xf numFmtId="0" fontId="19" fillId="6" borderId="24" xfId="0" applyFont="1" applyFill="1" applyBorder="1" applyAlignment="1">
      <alignment horizontal="center"/>
    </xf>
    <xf numFmtId="0" fontId="19" fillId="6" borderId="25" xfId="0" applyFont="1" applyFill="1" applyBorder="1" applyAlignment="1">
      <alignment horizontal="center"/>
    </xf>
    <xf numFmtId="0" fontId="18" fillId="5" borderId="26" xfId="0" applyFont="1" applyFill="1" applyBorder="1"/>
    <xf numFmtId="3" fontId="18" fillId="5" borderId="0" xfId="0" applyNumberFormat="1" applyFont="1" applyFill="1" applyAlignment="1">
      <alignment horizontal="right"/>
    </xf>
    <xf numFmtId="3" fontId="18" fillId="5" borderId="26" xfId="0" applyNumberFormat="1" applyFont="1" applyFill="1" applyBorder="1" applyAlignment="1">
      <alignment horizontal="right"/>
    </xf>
    <xf numFmtId="3" fontId="18" fillId="5" borderId="27" xfId="0" applyNumberFormat="1" applyFont="1" applyFill="1" applyBorder="1" applyAlignment="1">
      <alignment horizontal="right"/>
    </xf>
    <xf numFmtId="3" fontId="18" fillId="5" borderId="28" xfId="0" applyNumberFormat="1" applyFont="1" applyFill="1" applyBorder="1" applyAlignment="1">
      <alignment horizontal="right"/>
    </xf>
    <xf numFmtId="0" fontId="18" fillId="5" borderId="29" xfId="0" applyFont="1" applyFill="1" applyBorder="1"/>
    <xf numFmtId="0" fontId="18" fillId="5" borderId="27" xfId="0" applyFont="1" applyFill="1" applyBorder="1" applyAlignment="1">
      <alignment horizontal="right"/>
    </xf>
    <xf numFmtId="0" fontId="18" fillId="5" borderId="29" xfId="0" applyFont="1" applyFill="1" applyBorder="1" applyAlignment="1">
      <alignment horizontal="right"/>
    </xf>
    <xf numFmtId="0" fontId="18" fillId="5" borderId="27" xfId="0" applyFont="1" applyFill="1" applyBorder="1"/>
    <xf numFmtId="0" fontId="0" fillId="0" borderId="0" xfId="0" applyAlignment="1">
      <alignment vertical="top"/>
    </xf>
    <xf numFmtId="3" fontId="0" fillId="0" borderId="0" xfId="0" applyNumberFormat="1" applyAlignment="1">
      <alignment vertical="top"/>
    </xf>
    <xf numFmtId="0" fontId="23" fillId="0" borderId="0" xfId="0" applyFont="1" applyAlignment="1">
      <alignment vertical="top"/>
    </xf>
    <xf numFmtId="0" fontId="20" fillId="0" borderId="10" xfId="0" applyFont="1" applyBorder="1" applyAlignment="1">
      <alignment horizontal="left" vertical="top"/>
    </xf>
    <xf numFmtId="0" fontId="0" fillId="0" borderId="8" xfId="0" applyBorder="1" applyAlignment="1">
      <alignment vertical="top"/>
    </xf>
    <xf numFmtId="0" fontId="20" fillId="0" borderId="8" xfId="0" applyFont="1" applyBorder="1" applyAlignment="1">
      <alignment horizontal="right" vertical="top"/>
    </xf>
    <xf numFmtId="0" fontId="20" fillId="0" borderId="15" xfId="0" applyFont="1" applyBorder="1" applyAlignment="1">
      <alignment horizontal="right" vertical="top"/>
    </xf>
    <xf numFmtId="0" fontId="21" fillId="0" borderId="13" xfId="0" applyFont="1" applyBorder="1" applyAlignment="1">
      <alignment vertical="top"/>
    </xf>
    <xf numFmtId="0" fontId="21" fillId="0" borderId="0" xfId="0" applyFont="1" applyBorder="1" applyAlignment="1">
      <alignment vertical="top"/>
    </xf>
    <xf numFmtId="0" fontId="0" fillId="0" borderId="0" xfId="0" applyBorder="1" applyAlignment="1">
      <alignment vertical="top"/>
    </xf>
    <xf numFmtId="3" fontId="22" fillId="0" borderId="0" xfId="0" applyNumberFormat="1" applyFont="1" applyBorder="1" applyAlignment="1">
      <alignment vertical="top"/>
    </xf>
    <xf numFmtId="4" fontId="22" fillId="0" borderId="14" xfId="0" applyNumberFormat="1" applyFont="1" applyBorder="1" applyAlignment="1">
      <alignment vertical="top"/>
    </xf>
    <xf numFmtId="0" fontId="22" fillId="0" borderId="13" xfId="0" applyFont="1" applyBorder="1" applyAlignment="1">
      <alignment vertical="top"/>
    </xf>
    <xf numFmtId="0" fontId="0" fillId="0" borderId="13" xfId="0" applyBorder="1" applyAlignment="1">
      <alignment vertical="top"/>
    </xf>
    <xf numFmtId="0" fontId="0" fillId="0" borderId="14" xfId="0" applyBorder="1" applyAlignment="1">
      <alignment vertical="top"/>
    </xf>
    <xf numFmtId="3" fontId="0" fillId="0" borderId="0" xfId="0" applyNumberFormat="1" applyBorder="1" applyAlignment="1">
      <alignment vertical="top"/>
    </xf>
    <xf numFmtId="3" fontId="23" fillId="0" borderId="0" xfId="3" applyNumberFormat="1" applyBorder="1">
      <alignment vertical="top"/>
    </xf>
    <xf numFmtId="0" fontId="24" fillId="0" borderId="12" xfId="0" applyFont="1" applyBorder="1" applyAlignment="1">
      <alignment horizontal="left" vertical="top"/>
    </xf>
    <xf numFmtId="0" fontId="0" fillId="0" borderId="7" xfId="0" applyBorder="1" applyAlignment="1">
      <alignment vertical="top"/>
    </xf>
    <xf numFmtId="3" fontId="22" fillId="0" borderId="7" xfId="0" applyNumberFormat="1" applyFont="1" applyBorder="1" applyAlignment="1">
      <alignment vertical="top"/>
    </xf>
    <xf numFmtId="167" fontId="22" fillId="0" borderId="16" xfId="0" applyNumberFormat="1" applyFont="1" applyBorder="1" applyAlignment="1">
      <alignment vertical="top"/>
    </xf>
    <xf numFmtId="0" fontId="20" fillId="0" borderId="10" xfId="3" applyFont="1" applyBorder="1" applyAlignment="1">
      <alignment horizontal="left" vertical="top"/>
    </xf>
    <xf numFmtId="0" fontId="23" fillId="0" borderId="8" xfId="3" applyBorder="1">
      <alignment vertical="top"/>
    </xf>
    <xf numFmtId="0" fontId="20" fillId="0" borderId="8" xfId="3" applyFont="1" applyBorder="1" applyAlignment="1">
      <alignment horizontal="right" vertical="top"/>
    </xf>
    <xf numFmtId="0" fontId="20" fillId="0" borderId="15" xfId="3" applyFont="1" applyBorder="1" applyAlignment="1">
      <alignment horizontal="right" vertical="top"/>
    </xf>
    <xf numFmtId="0" fontId="21" fillId="0" borderId="13" xfId="3" applyFont="1" applyBorder="1">
      <alignment vertical="top"/>
    </xf>
    <xf numFmtId="0" fontId="21" fillId="0" borderId="0" xfId="3" applyFont="1" applyBorder="1">
      <alignment vertical="top"/>
    </xf>
    <xf numFmtId="0" fontId="23" fillId="0" borderId="0" xfId="3" applyBorder="1">
      <alignment vertical="top"/>
    </xf>
    <xf numFmtId="3" fontId="22" fillId="0" borderId="0" xfId="3" applyNumberFormat="1" applyFont="1" applyBorder="1">
      <alignment vertical="top"/>
    </xf>
    <xf numFmtId="4" fontId="22" fillId="0" borderId="14" xfId="3" applyNumberFormat="1" applyFont="1" applyBorder="1">
      <alignment vertical="top"/>
    </xf>
    <xf numFmtId="0" fontId="22" fillId="0" borderId="13" xfId="3" applyFont="1" applyBorder="1">
      <alignment vertical="top"/>
    </xf>
    <xf numFmtId="0" fontId="23" fillId="0" borderId="13" xfId="3" applyBorder="1">
      <alignment vertical="top"/>
    </xf>
    <xf numFmtId="0" fontId="23" fillId="0" borderId="14" xfId="3" applyBorder="1">
      <alignment vertical="top"/>
    </xf>
    <xf numFmtId="0" fontId="24" fillId="0" borderId="12" xfId="3" applyFont="1" applyBorder="1" applyAlignment="1">
      <alignment horizontal="left" vertical="top"/>
    </xf>
    <xf numFmtId="0" fontId="23" fillId="0" borderId="7" xfId="3" applyBorder="1">
      <alignment vertical="top"/>
    </xf>
    <xf numFmtId="3" fontId="22" fillId="0" borderId="7" xfId="3" applyNumberFormat="1" applyFont="1" applyBorder="1">
      <alignment vertical="top"/>
    </xf>
    <xf numFmtId="167" fontId="22" fillId="0" borderId="16" xfId="3" applyNumberFormat="1" applyFont="1" applyBorder="1">
      <alignment vertical="top"/>
    </xf>
    <xf numFmtId="0" fontId="25" fillId="0" borderId="10" xfId="0" applyFont="1" applyBorder="1" applyAlignment="1">
      <alignment horizontal="left" vertical="top"/>
    </xf>
    <xf numFmtId="0" fontId="25" fillId="0" borderId="8" xfId="0" applyFont="1" applyBorder="1" applyAlignment="1">
      <alignment horizontal="right" vertical="top"/>
    </xf>
    <xf numFmtId="0" fontId="25" fillId="0" borderId="15" xfId="0" applyFont="1" applyBorder="1" applyAlignment="1">
      <alignment horizontal="right" vertical="top"/>
    </xf>
    <xf numFmtId="0" fontId="26" fillId="0" borderId="13" xfId="0" applyFont="1" applyBorder="1" applyAlignment="1">
      <alignment vertical="top"/>
    </xf>
    <xf numFmtId="0" fontId="26" fillId="0" borderId="0" xfId="0" applyFont="1" applyBorder="1" applyAlignment="1">
      <alignment vertical="top"/>
    </xf>
    <xf numFmtId="3" fontId="27" fillId="0" borderId="0" xfId="0" applyNumberFormat="1" applyFont="1" applyBorder="1" applyAlignment="1">
      <alignment vertical="top"/>
    </xf>
    <xf numFmtId="4" fontId="27" fillId="0" borderId="14" xfId="0" applyNumberFormat="1" applyFont="1" applyBorder="1" applyAlignment="1">
      <alignment vertical="top"/>
    </xf>
    <xf numFmtId="0" fontId="27" fillId="0" borderId="13" xfId="0" applyFont="1" applyBorder="1" applyAlignment="1">
      <alignment vertical="top"/>
    </xf>
    <xf numFmtId="0" fontId="28" fillId="0" borderId="12" xfId="0" applyFont="1" applyBorder="1" applyAlignment="1">
      <alignment horizontal="left" vertical="top"/>
    </xf>
    <xf numFmtId="3" fontId="27" fillId="0" borderId="7" xfId="0" applyNumberFormat="1" applyFont="1" applyBorder="1" applyAlignment="1">
      <alignment vertical="top"/>
    </xf>
    <xf numFmtId="167" fontId="27" fillId="0" borderId="16" xfId="0" applyNumberFormat="1" applyFont="1" applyBorder="1" applyAlignment="1">
      <alignment vertical="top"/>
    </xf>
    <xf numFmtId="0" fontId="25" fillId="0" borderId="10" xfId="3" applyFont="1" applyBorder="1" applyAlignment="1">
      <alignment horizontal="left" vertical="top"/>
    </xf>
    <xf numFmtId="0" fontId="25" fillId="0" borderId="8" xfId="3" applyFont="1" applyBorder="1" applyAlignment="1">
      <alignment horizontal="right" vertical="top"/>
    </xf>
    <xf numFmtId="0" fontId="25" fillId="0" borderId="15" xfId="3" applyFont="1" applyBorder="1" applyAlignment="1">
      <alignment horizontal="right" vertical="top"/>
    </xf>
    <xf numFmtId="0" fontId="26" fillId="0" borderId="13" xfId="3" applyFont="1" applyBorder="1">
      <alignment vertical="top"/>
    </xf>
    <xf numFmtId="0" fontId="26" fillId="0" borderId="0" xfId="3" applyFont="1" applyBorder="1">
      <alignment vertical="top"/>
    </xf>
    <xf numFmtId="3" fontId="27" fillId="0" borderId="0" xfId="3" applyNumberFormat="1" applyFont="1" applyBorder="1">
      <alignment vertical="top"/>
    </xf>
    <xf numFmtId="4" fontId="27" fillId="0" borderId="14" xfId="3" applyNumberFormat="1" applyFont="1" applyBorder="1">
      <alignment vertical="top"/>
    </xf>
    <xf numFmtId="0" fontId="27" fillId="0" borderId="13" xfId="3" applyFont="1" applyBorder="1">
      <alignment vertical="top"/>
    </xf>
    <xf numFmtId="0" fontId="28" fillId="0" borderId="12" xfId="3" applyFont="1" applyBorder="1" applyAlignment="1">
      <alignment horizontal="left" vertical="top"/>
    </xf>
    <xf numFmtId="3" fontId="27" fillId="0" borderId="7" xfId="3" applyNumberFormat="1" applyFont="1" applyBorder="1">
      <alignment vertical="top"/>
    </xf>
    <xf numFmtId="167" fontId="27" fillId="0" borderId="16" xfId="3" applyNumberFormat="1" applyFont="1" applyBorder="1">
      <alignment vertical="top"/>
    </xf>
    <xf numFmtId="0" fontId="0" fillId="0" borderId="0" xfId="0" applyAlignment="1">
      <alignment horizontal="center" wrapText="1"/>
    </xf>
    <xf numFmtId="0" fontId="2" fillId="0" borderId="0" xfId="0" applyFont="1" applyAlignment="1">
      <alignment horizontal="center" wrapText="1"/>
    </xf>
    <xf numFmtId="0" fontId="0" fillId="0" borderId="13" xfId="0" applyBorder="1" applyAlignment="1">
      <alignment horizontal="center" wrapText="1"/>
    </xf>
    <xf numFmtId="0" fontId="0" fillId="0" borderId="0" xfId="0" applyBorder="1" applyAlignment="1">
      <alignment horizontal="center" wrapText="1"/>
    </xf>
    <xf numFmtId="164" fontId="0" fillId="0" borderId="0" xfId="1" applyNumberFormat="1" applyFont="1" applyBorder="1" applyAlignment="1">
      <alignment horizontal="center" wrapText="1"/>
    </xf>
    <xf numFmtId="164" fontId="0" fillId="0" borderId="0" xfId="0" applyNumberFormat="1" applyBorder="1" applyAlignment="1">
      <alignment horizontal="center" wrapText="1"/>
    </xf>
    <xf numFmtId="0" fontId="0" fillId="0" borderId="14" xfId="0" applyBorder="1" applyAlignment="1">
      <alignment horizontal="center" wrapText="1"/>
    </xf>
    <xf numFmtId="0" fontId="0" fillId="0" borderId="12" xfId="0" applyBorder="1" applyAlignment="1">
      <alignment horizontal="center" wrapText="1"/>
    </xf>
    <xf numFmtId="0" fontId="0" fillId="0" borderId="7" xfId="0" applyBorder="1" applyAlignment="1">
      <alignment horizontal="center" wrapText="1"/>
    </xf>
    <xf numFmtId="164" fontId="0" fillId="0" borderId="7" xfId="0" applyNumberFormat="1" applyBorder="1" applyAlignment="1">
      <alignment horizontal="center" wrapText="1"/>
    </xf>
    <xf numFmtId="0" fontId="0" fillId="0" borderId="16" xfId="0" applyBorder="1" applyAlignment="1">
      <alignment horizontal="center" wrapText="1"/>
    </xf>
    <xf numFmtId="164" fontId="0" fillId="0" borderId="14" xfId="0" applyNumberFormat="1" applyBorder="1" applyAlignment="1">
      <alignment horizontal="center" wrapText="1"/>
    </xf>
    <xf numFmtId="164" fontId="0" fillId="0" borderId="16" xfId="0" applyNumberFormat="1" applyBorder="1" applyAlignment="1">
      <alignment horizontal="center" wrapText="1"/>
    </xf>
    <xf numFmtId="164" fontId="2" fillId="0" borderId="0" xfId="0" applyNumberFormat="1" applyFont="1" applyBorder="1" applyAlignment="1">
      <alignment horizontal="center" wrapText="1"/>
    </xf>
    <xf numFmtId="43" fontId="0" fillId="0" borderId="0" xfId="0" applyNumberFormat="1" applyBorder="1" applyAlignment="1">
      <alignment horizontal="center" wrapText="1"/>
    </xf>
    <xf numFmtId="0" fontId="0" fillId="0" borderId="11" xfId="0" applyBorder="1" applyAlignment="1">
      <alignment horizontal="center" wrapText="1"/>
    </xf>
    <xf numFmtId="0" fontId="0" fillId="0" borderId="23" xfId="0" applyBorder="1" applyAlignment="1">
      <alignment horizontal="center" wrapText="1"/>
    </xf>
    <xf numFmtId="0" fontId="2" fillId="0" borderId="20" xfId="0" applyFont="1" applyBorder="1" applyAlignment="1">
      <alignment horizontal="center" wrapText="1"/>
    </xf>
    <xf numFmtId="0" fontId="2" fillId="0" borderId="21" xfId="0" applyFont="1" applyBorder="1" applyAlignment="1">
      <alignment horizontal="center" wrapText="1"/>
    </xf>
    <xf numFmtId="0" fontId="8" fillId="0" borderId="21" xfId="2" applyBorder="1" applyAlignment="1" applyProtection="1">
      <alignment horizontal="center" wrapText="1"/>
    </xf>
    <xf numFmtId="0" fontId="8" fillId="0" borderId="20" xfId="2" applyBorder="1" applyAlignment="1" applyProtection="1">
      <alignment horizontal="center" wrapText="1"/>
    </xf>
    <xf numFmtId="0" fontId="2" fillId="0" borderId="22" xfId="0" applyFont="1" applyBorder="1" applyAlignment="1">
      <alignment horizontal="center" wrapText="1"/>
    </xf>
    <xf numFmtId="0" fontId="2" fillId="0" borderId="19" xfId="0" applyFont="1" applyBorder="1" applyAlignment="1">
      <alignment horizontal="center" wrapText="1"/>
    </xf>
    <xf numFmtId="43" fontId="0" fillId="0" borderId="7" xfId="0" applyNumberFormat="1" applyBorder="1" applyAlignment="1">
      <alignment horizontal="center" wrapText="1"/>
    </xf>
    <xf numFmtId="0" fontId="8" fillId="0" borderId="22" xfId="2" applyBorder="1" applyAlignment="1" applyProtection="1">
      <alignment horizontal="center" wrapText="1"/>
    </xf>
    <xf numFmtId="3" fontId="0" fillId="0" borderId="0" xfId="0" applyNumberFormat="1" applyBorder="1" applyAlignment="1">
      <alignment horizontal="center" wrapText="1"/>
    </xf>
    <xf numFmtId="168" fontId="0" fillId="0" borderId="0" xfId="0" applyNumberFormat="1" applyBorder="1" applyAlignment="1">
      <alignment horizontal="center" wrapText="1"/>
    </xf>
    <xf numFmtId="168" fontId="0" fillId="0" borderId="7" xfId="0" applyNumberFormat="1" applyBorder="1" applyAlignment="1">
      <alignment horizontal="center" wrapText="1"/>
    </xf>
    <xf numFmtId="164" fontId="0" fillId="0" borderId="14" xfId="1" applyNumberFormat="1" applyFont="1" applyBorder="1" applyAlignment="1">
      <alignment horizontal="center" wrapText="1"/>
    </xf>
    <xf numFmtId="164" fontId="0" fillId="0" borderId="16" xfId="1" applyNumberFormat="1" applyFont="1" applyBorder="1" applyAlignment="1">
      <alignment horizontal="center" wrapText="1"/>
    </xf>
    <xf numFmtId="2" fontId="0" fillId="0" borderId="0" xfId="0" applyNumberFormat="1" applyBorder="1" applyAlignment="1">
      <alignment horizontal="center" wrapText="1"/>
    </xf>
    <xf numFmtId="169" fontId="0" fillId="0" borderId="0" xfId="0" applyNumberFormat="1" applyBorder="1" applyAlignment="1">
      <alignment horizontal="center" wrapText="1"/>
    </xf>
    <xf numFmtId="169" fontId="0" fillId="0" borderId="7" xfId="0" applyNumberFormat="1" applyBorder="1" applyAlignment="1">
      <alignment horizontal="center" wrapText="1"/>
    </xf>
    <xf numFmtId="164" fontId="2" fillId="0" borderId="11" xfId="0" applyNumberFormat="1" applyFont="1" applyBorder="1" applyAlignment="1">
      <alignment horizontal="center" wrapText="1"/>
    </xf>
    <xf numFmtId="164" fontId="2" fillId="0" borderId="23" xfId="0" applyNumberFormat="1" applyFont="1" applyBorder="1" applyAlignment="1">
      <alignment horizontal="center" wrapText="1"/>
    </xf>
    <xf numFmtId="0" fontId="3" fillId="0" borderId="0" xfId="0" applyFont="1" applyFill="1" applyBorder="1" applyAlignment="1">
      <alignment horizontal="left"/>
    </xf>
    <xf numFmtId="0" fontId="6" fillId="0" borderId="0" xfId="0" applyFont="1" applyFill="1"/>
    <xf numFmtId="0" fontId="32" fillId="0" borderId="7" xfId="5" applyNumberFormat="1" applyFont="1" applyFill="1" applyBorder="1" applyAlignment="1">
      <alignment horizontal="center"/>
    </xf>
    <xf numFmtId="0" fontId="32" fillId="0" borderId="7" xfId="0" applyNumberFormat="1" applyFont="1" applyFill="1" applyBorder="1" applyAlignment="1">
      <alignment horizontal="center"/>
    </xf>
    <xf numFmtId="0" fontId="6" fillId="0" borderId="0" xfId="0" applyFont="1" applyFill="1" applyAlignment="1">
      <alignment horizontal="center"/>
    </xf>
    <xf numFmtId="0" fontId="32" fillId="0" borderId="0" xfId="5" applyNumberFormat="1" applyFont="1" applyFill="1" applyBorder="1" applyAlignment="1">
      <alignment horizontal="left" wrapText="1"/>
    </xf>
    <xf numFmtId="0" fontId="32" fillId="0" borderId="0" xfId="5" applyNumberFormat="1" applyFont="1" applyFill="1" applyBorder="1" applyAlignment="1">
      <alignment horizontal="right"/>
    </xf>
    <xf numFmtId="0" fontId="33" fillId="0" borderId="0" xfId="0" applyFont="1" applyFill="1"/>
    <xf numFmtId="0" fontId="33" fillId="0" borderId="0" xfId="5" applyFont="1" applyFill="1" applyBorder="1" applyAlignment="1">
      <alignment horizontal="left" vertical="top" indent="1"/>
    </xf>
    <xf numFmtId="166" fontId="33" fillId="0" borderId="0" xfId="0" applyNumberFormat="1" applyFont="1" applyFill="1" applyAlignment="1">
      <alignment horizontal="right"/>
    </xf>
    <xf numFmtId="171" fontId="33" fillId="0" borderId="0" xfId="0" applyNumberFormat="1" applyFont="1" applyFill="1" applyAlignment="1">
      <alignment horizontal="right"/>
    </xf>
    <xf numFmtId="0" fontId="33" fillId="0" borderId="0" xfId="5" applyFont="1" applyFill="1" applyBorder="1" applyAlignment="1">
      <alignment horizontal="left" indent="1"/>
    </xf>
    <xf numFmtId="166" fontId="33" fillId="0" borderId="0" xfId="5" applyNumberFormat="1" applyFont="1" applyFill="1" applyBorder="1" applyAlignment="1">
      <alignment horizontal="right"/>
    </xf>
    <xf numFmtId="0" fontId="32" fillId="0" borderId="0" xfId="5" applyFont="1" applyFill="1" applyBorder="1">
      <alignment horizontal="left"/>
    </xf>
    <xf numFmtId="0" fontId="33" fillId="0" borderId="0" xfId="5" applyFont="1" applyFill="1" applyBorder="1" applyAlignment="1">
      <alignment horizontal="left" indent="2"/>
    </xf>
    <xf numFmtId="167" fontId="33" fillId="0" borderId="0" xfId="5" applyNumberFormat="1" applyFont="1" applyFill="1" applyBorder="1" applyAlignment="1">
      <alignment horizontal="right"/>
    </xf>
    <xf numFmtId="0" fontId="33" fillId="0" borderId="0" xfId="5" applyFont="1" applyFill="1" applyBorder="1" applyAlignment="1">
      <alignment horizontal="left" indent="3"/>
    </xf>
    <xf numFmtId="167" fontId="33" fillId="0" borderId="0" xfId="0" applyNumberFormat="1" applyFont="1" applyFill="1" applyAlignment="1">
      <alignment horizontal="right"/>
    </xf>
    <xf numFmtId="0" fontId="33" fillId="0" borderId="30" xfId="5" applyFont="1" applyFill="1" applyBorder="1" applyAlignment="1">
      <alignment horizontal="left" indent="1"/>
    </xf>
    <xf numFmtId="166" fontId="33" fillId="0" borderId="30" xfId="5" applyNumberFormat="1" applyFont="1" applyFill="1" applyBorder="1" applyAlignment="1">
      <alignment horizontal="right" vertical="top"/>
    </xf>
    <xf numFmtId="166" fontId="33" fillId="0" borderId="30" xfId="5" applyNumberFormat="1" applyFont="1" applyFill="1" applyBorder="1" applyAlignment="1">
      <alignment horizontal="right"/>
    </xf>
    <xf numFmtId="0" fontId="33" fillId="0" borderId="30" xfId="0" applyFont="1" applyFill="1" applyBorder="1"/>
    <xf numFmtId="0" fontId="33" fillId="0" borderId="0" xfId="0" applyFont="1" applyFill="1" applyBorder="1"/>
    <xf numFmtId="166" fontId="36" fillId="0" borderId="0" xfId="5" applyNumberFormat="1" applyFont="1" applyFill="1" applyBorder="1" applyAlignment="1">
      <alignment horizontal="right"/>
    </xf>
    <xf numFmtId="0" fontId="6" fillId="0" borderId="0" xfId="0" applyFont="1" applyFill="1" applyBorder="1"/>
    <xf numFmtId="0" fontId="36" fillId="0" borderId="0" xfId="0" applyFont="1" applyFill="1" applyAlignment="1"/>
    <xf numFmtId="0" fontId="12" fillId="0" borderId="0" xfId="0" applyFont="1" applyFill="1"/>
    <xf numFmtId="0" fontId="12" fillId="0" borderId="0" xfId="0" applyFont="1" applyFill="1" applyAlignment="1"/>
    <xf numFmtId="49" fontId="14" fillId="0" borderId="0" xfId="0" applyNumberFormat="1" applyFont="1" applyFill="1" applyAlignment="1">
      <alignment horizontal="left"/>
    </xf>
    <xf numFmtId="170" fontId="6" fillId="0" borderId="0" xfId="0" applyNumberFormat="1" applyFont="1" applyFill="1"/>
    <xf numFmtId="166" fontId="6" fillId="0" borderId="0" xfId="0" applyNumberFormat="1" applyFont="1" applyFill="1"/>
    <xf numFmtId="164" fontId="17" fillId="0" borderId="0" xfId="0" applyNumberFormat="1" applyFont="1" applyBorder="1"/>
    <xf numFmtId="0" fontId="0" fillId="0" borderId="12" xfId="0" applyBorder="1"/>
    <xf numFmtId="0" fontId="17" fillId="0" borderId="0" xfId="0" applyFont="1" applyBorder="1"/>
    <xf numFmtId="3" fontId="17" fillId="0" borderId="0" xfId="0" applyNumberFormat="1" applyFont="1" applyBorder="1"/>
    <xf numFmtId="164" fontId="17" fillId="0" borderId="11" xfId="1" applyNumberFormat="1" applyFont="1" applyBorder="1"/>
    <xf numFmtId="0" fontId="2" fillId="0" borderId="19" xfId="0" applyFont="1" applyFill="1" applyBorder="1" applyAlignment="1">
      <alignment horizontal="center"/>
    </xf>
    <xf numFmtId="164" fontId="2" fillId="0" borderId="11" xfId="1" applyNumberFormat="1" applyFont="1" applyBorder="1"/>
    <xf numFmtId="164" fontId="2" fillId="0" borderId="19" xfId="1" applyNumberFormat="1" applyFont="1" applyBorder="1"/>
    <xf numFmtId="164" fontId="41" fillId="0" borderId="0" xfId="1" applyNumberFormat="1" applyFont="1"/>
    <xf numFmtId="0" fontId="40" fillId="0" borderId="0" xfId="0" applyFont="1"/>
    <xf numFmtId="164" fontId="0" fillId="0" borderId="0" xfId="0" applyNumberFormat="1"/>
    <xf numFmtId="0" fontId="0" fillId="0" borderId="0" xfId="0" applyFill="1"/>
    <xf numFmtId="3" fontId="7" fillId="0" borderId="0" xfId="0" applyNumberFormat="1" applyFont="1" applyFill="1" applyBorder="1"/>
    <xf numFmtId="3" fontId="2" fillId="0" borderId="0" xfId="0" applyNumberFormat="1" applyFont="1" applyFill="1" applyBorder="1"/>
    <xf numFmtId="164" fontId="41" fillId="0" borderId="0" xfId="1" applyNumberFormat="1" applyFont="1" applyFill="1"/>
    <xf numFmtId="164" fontId="0" fillId="0" borderId="0" xfId="1" applyNumberFormat="1" applyFont="1"/>
    <xf numFmtId="164" fontId="2" fillId="0" borderId="0" xfId="1" applyNumberFormat="1" applyFont="1"/>
    <xf numFmtId="164" fontId="41" fillId="0" borderId="19" xfId="1" applyNumberFormat="1" applyFont="1" applyBorder="1"/>
    <xf numFmtId="0" fontId="0" fillId="7" borderId="19" xfId="0" applyFill="1" applyBorder="1"/>
    <xf numFmtId="3" fontId="7" fillId="7" borderId="19" xfId="0" applyNumberFormat="1" applyFont="1" applyFill="1" applyBorder="1"/>
    <xf numFmtId="3" fontId="2" fillId="7" borderId="19" xfId="0" applyNumberFormat="1" applyFont="1" applyFill="1" applyBorder="1"/>
    <xf numFmtId="164" fontId="41" fillId="7" borderId="19" xfId="1" applyNumberFormat="1" applyFont="1" applyFill="1" applyBorder="1"/>
    <xf numFmtId="164" fontId="41" fillId="0" borderId="22" xfId="1" applyNumberFormat="1" applyFont="1" applyBorder="1"/>
    <xf numFmtId="164" fontId="0" fillId="0" borderId="11" xfId="1" applyNumberFormat="1" applyFont="1" applyBorder="1"/>
    <xf numFmtId="164" fontId="0" fillId="0" borderId="10" xfId="1" applyNumberFormat="1" applyFont="1" applyBorder="1"/>
    <xf numFmtId="0" fontId="2" fillId="7" borderId="19" xfId="0" applyFont="1" applyFill="1" applyBorder="1"/>
    <xf numFmtId="164" fontId="2" fillId="7" borderId="19" xfId="1" applyNumberFormat="1" applyFont="1" applyFill="1" applyBorder="1"/>
    <xf numFmtId="164" fontId="2" fillId="7" borderId="20" xfId="1" applyNumberFormat="1" applyFont="1" applyFill="1" applyBorder="1"/>
    <xf numFmtId="164" fontId="41" fillId="7" borderId="22" xfId="1" applyNumberFormat="1" applyFont="1" applyFill="1" applyBorder="1"/>
    <xf numFmtId="3" fontId="6" fillId="0" borderId="11" xfId="0" applyNumberFormat="1" applyFont="1" applyBorder="1"/>
    <xf numFmtId="3" fontId="0" fillId="0" borderId="11" xfId="0" applyNumberFormat="1" applyFont="1" applyBorder="1"/>
    <xf numFmtId="164" fontId="0" fillId="0" borderId="0" xfId="0" applyNumberFormat="1" applyAlignment="1">
      <alignment horizontal="center"/>
    </xf>
    <xf numFmtId="164" fontId="0" fillId="0" borderId="0" xfId="0" applyNumberFormat="1" applyBorder="1"/>
    <xf numFmtId="4" fontId="0" fillId="0" borderId="0" xfId="0" applyNumberFormat="1" applyBorder="1" applyAlignment="1">
      <alignment horizontal="center" wrapText="1"/>
    </xf>
    <xf numFmtId="2" fontId="0" fillId="0" borderId="7" xfId="0" applyNumberFormat="1" applyBorder="1" applyAlignment="1">
      <alignment horizontal="center" wrapText="1"/>
    </xf>
    <xf numFmtId="0" fontId="0" fillId="0" borderId="9" xfId="0" applyBorder="1" applyAlignment="1">
      <alignment horizontal="center"/>
    </xf>
    <xf numFmtId="0" fontId="0" fillId="0" borderId="11" xfId="0" applyBorder="1" applyAlignment="1">
      <alignment horizontal="center"/>
    </xf>
    <xf numFmtId="0" fontId="0" fillId="0" borderId="23" xfId="0" applyBorder="1" applyAlignment="1">
      <alignment horizontal="center"/>
    </xf>
    <xf numFmtId="0" fontId="0" fillId="0" borderId="10" xfId="0" applyBorder="1" applyAlignment="1">
      <alignment horizontal="center"/>
    </xf>
    <xf numFmtId="0" fontId="0" fillId="0" borderId="15"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12" xfId="0" applyBorder="1" applyAlignment="1">
      <alignment horizontal="center"/>
    </xf>
    <xf numFmtId="0" fontId="0" fillId="0" borderId="16" xfId="0" applyBorder="1" applyAlignment="1">
      <alignment horizontal="center"/>
    </xf>
    <xf numFmtId="164" fontId="0" fillId="0" borderId="11" xfId="1" applyNumberFormat="1" applyFont="1" applyBorder="1" applyAlignment="1">
      <alignment horizontal="center" wrapText="1"/>
    </xf>
    <xf numFmtId="164" fontId="0" fillId="0" borderId="23" xfId="1" applyNumberFormat="1" applyFont="1" applyBorder="1" applyAlignment="1">
      <alignment horizontal="center" wrapText="1"/>
    </xf>
    <xf numFmtId="164" fontId="2" fillId="0" borderId="9" xfId="0" applyNumberFormat="1" applyFont="1" applyBorder="1" applyAlignment="1">
      <alignment horizontal="center"/>
    </xf>
    <xf numFmtId="164" fontId="2" fillId="0" borderId="11" xfId="0" applyNumberFormat="1" applyFont="1" applyBorder="1" applyAlignment="1">
      <alignment horizontal="center"/>
    </xf>
    <xf numFmtId="164" fontId="2" fillId="0" borderId="11" xfId="1" applyNumberFormat="1" applyFont="1" applyBorder="1" applyAlignment="1">
      <alignment horizontal="center"/>
    </xf>
    <xf numFmtId="164" fontId="2" fillId="0" borderId="23" xfId="0" applyNumberFormat="1" applyFont="1" applyBorder="1" applyAlignment="1">
      <alignment horizontal="center"/>
    </xf>
    <xf numFmtId="0" fontId="0" fillId="0" borderId="10" xfId="0" applyBorder="1"/>
    <xf numFmtId="164" fontId="0" fillId="0" borderId="15" xfId="0" applyNumberFormat="1" applyBorder="1"/>
    <xf numFmtId="164" fontId="0" fillId="0" borderId="14" xfId="0" applyNumberFormat="1" applyBorder="1"/>
    <xf numFmtId="164" fontId="0" fillId="0" borderId="16" xfId="0" applyNumberFormat="1" applyBorder="1"/>
    <xf numFmtId="164" fontId="0" fillId="0" borderId="8" xfId="0" applyNumberFormat="1" applyBorder="1"/>
    <xf numFmtId="164" fontId="0" fillId="0" borderId="15" xfId="0" applyNumberFormat="1" applyBorder="1" applyAlignment="1">
      <alignment horizontal="center" wrapText="1"/>
    </xf>
    <xf numFmtId="164" fontId="0" fillId="0" borderId="7" xfId="0" applyNumberFormat="1" applyBorder="1"/>
    <xf numFmtId="164" fontId="2" fillId="0" borderId="9" xfId="0" applyNumberFormat="1" applyFont="1" applyBorder="1"/>
    <xf numFmtId="164" fontId="2" fillId="0" borderId="11" xfId="0" applyNumberFormat="1" applyFont="1" applyBorder="1"/>
    <xf numFmtId="164" fontId="2" fillId="0" borderId="23" xfId="0" applyNumberFormat="1" applyFont="1" applyBorder="1"/>
    <xf numFmtId="0" fontId="0" fillId="0" borderId="0" xfId="0" applyFill="1" applyBorder="1" applyAlignment="1">
      <alignment horizontal="center"/>
    </xf>
    <xf numFmtId="0" fontId="2" fillId="0" borderId="34" xfId="0" applyFont="1" applyBorder="1"/>
    <xf numFmtId="164" fontId="2" fillId="0" borderId="35" xfId="0" applyNumberFormat="1" applyFont="1" applyBorder="1"/>
    <xf numFmtId="0" fontId="2" fillId="0" borderId="35" xfId="0" applyFont="1" applyBorder="1"/>
    <xf numFmtId="164" fontId="2" fillId="0" borderId="29" xfId="0" applyNumberFormat="1" applyFont="1" applyBorder="1"/>
    <xf numFmtId="164" fontId="2" fillId="0" borderId="21" xfId="1" applyNumberFormat="1" applyFont="1" applyBorder="1" applyAlignment="1">
      <alignment horizontal="center" wrapText="1"/>
    </xf>
    <xf numFmtId="164" fontId="2" fillId="0" borderId="22" xfId="1" applyNumberFormat="1" applyFont="1" applyBorder="1" applyAlignment="1">
      <alignment horizontal="center" wrapText="1"/>
    </xf>
    <xf numFmtId="43" fontId="2" fillId="0" borderId="21" xfId="1" applyNumberFormat="1" applyFont="1" applyBorder="1" applyAlignment="1">
      <alignment horizontal="center" wrapText="1"/>
    </xf>
    <xf numFmtId="172" fontId="2" fillId="0" borderId="21" xfId="1" applyNumberFormat="1" applyFont="1" applyBorder="1" applyAlignment="1">
      <alignment horizontal="center" wrapText="1"/>
    </xf>
    <xf numFmtId="164" fontId="42" fillId="0" borderId="0" xfId="1" quotePrefix="1" applyNumberFormat="1" applyFont="1"/>
    <xf numFmtId="164" fontId="42" fillId="0" borderId="0" xfId="1" applyNumberFormat="1" applyFont="1"/>
    <xf numFmtId="0" fontId="7" fillId="0" borderId="0" xfId="0" applyFont="1"/>
    <xf numFmtId="164" fontId="0" fillId="0" borderId="0" xfId="1" quotePrefix="1" applyNumberFormat="1" applyFont="1"/>
    <xf numFmtId="0" fontId="0" fillId="8" borderId="0" xfId="0" quotePrefix="1" applyFill="1"/>
    <xf numFmtId="0" fontId="0" fillId="9" borderId="0" xfId="0" quotePrefix="1" applyFill="1"/>
    <xf numFmtId="0" fontId="0" fillId="10" borderId="0" xfId="0" quotePrefix="1" applyFill="1"/>
    <xf numFmtId="0" fontId="0" fillId="11" borderId="0" xfId="0" quotePrefix="1" applyFill="1"/>
    <xf numFmtId="164" fontId="0" fillId="4" borderId="0" xfId="1" applyNumberFormat="1" applyFont="1" applyFill="1"/>
    <xf numFmtId="164" fontId="0" fillId="4" borderId="0" xfId="1" quotePrefix="1" applyNumberFormat="1" applyFont="1" applyFill="1"/>
    <xf numFmtId="164" fontId="42" fillId="4" borderId="0" xfId="1" quotePrefix="1" applyNumberFormat="1" applyFont="1" applyFill="1"/>
    <xf numFmtId="164" fontId="42" fillId="4" borderId="0" xfId="1" applyNumberFormat="1" applyFont="1" applyFill="1"/>
    <xf numFmtId="3" fontId="0" fillId="0" borderId="0" xfId="0" applyNumberFormat="1"/>
    <xf numFmtId="0" fontId="0" fillId="0" borderId="36" xfId="0" applyBorder="1"/>
    <xf numFmtId="0" fontId="0" fillId="0" borderId="37" xfId="0" applyBorder="1"/>
    <xf numFmtId="0" fontId="0" fillId="0" borderId="36" xfId="0" applyBorder="1" applyAlignment="1">
      <alignment horizontal="center"/>
    </xf>
    <xf numFmtId="0" fontId="0" fillId="0" borderId="39" xfId="0" applyBorder="1" applyAlignment="1">
      <alignment horizontal="center"/>
    </xf>
    <xf numFmtId="3" fontId="0" fillId="0" borderId="36" xfId="0" applyNumberFormat="1" applyBorder="1" applyAlignment="1">
      <alignment horizontal="center"/>
    </xf>
    <xf numFmtId="3" fontId="0" fillId="0" borderId="39" xfId="0" applyNumberFormat="1" applyBorder="1" applyAlignment="1">
      <alignment horizontal="center"/>
    </xf>
    <xf numFmtId="0" fontId="0" fillId="0" borderId="40" xfId="0" applyBorder="1"/>
    <xf numFmtId="3" fontId="0" fillId="0" borderId="40" xfId="0" applyNumberFormat="1" applyBorder="1" applyAlignment="1">
      <alignment horizontal="center"/>
    </xf>
    <xf numFmtId="3" fontId="0" fillId="0" borderId="0" xfId="0" applyNumberFormat="1" applyAlignment="1">
      <alignment horizontal="center"/>
    </xf>
    <xf numFmtId="0" fontId="0" fillId="0" borderId="0" xfId="0" applyBorder="1" applyAlignment="1">
      <alignment horizontal="center"/>
    </xf>
    <xf numFmtId="3" fontId="0" fillId="0" borderId="14" xfId="0" applyNumberFormat="1" applyBorder="1"/>
    <xf numFmtId="0" fontId="2" fillId="0" borderId="12" xfId="0" applyFont="1" applyBorder="1"/>
    <xf numFmtId="3" fontId="2" fillId="0" borderId="20" xfId="0" applyNumberFormat="1" applyFont="1" applyBorder="1" applyAlignment="1">
      <alignment horizontal="center"/>
    </xf>
    <xf numFmtId="3" fontId="2" fillId="0" borderId="21" xfId="0" applyNumberFormat="1" applyFont="1" applyBorder="1" applyAlignment="1">
      <alignment horizontal="center"/>
    </xf>
    <xf numFmtId="0" fontId="2" fillId="0" borderId="0" xfId="0" applyFont="1" applyBorder="1"/>
    <xf numFmtId="0" fontId="2" fillId="0" borderId="0" xfId="0" applyFont="1" applyBorder="1" applyAlignment="1">
      <alignment horizontal="center"/>
    </xf>
    <xf numFmtId="164" fontId="41" fillId="0" borderId="0" xfId="0" applyNumberFormat="1" applyFont="1" applyBorder="1"/>
    <xf numFmtId="0" fontId="0" fillId="0" borderId="20" xfId="0" applyFont="1" applyBorder="1"/>
    <xf numFmtId="0" fontId="0" fillId="0" borderId="13" xfId="0" applyFont="1" applyBorder="1"/>
    <xf numFmtId="3" fontId="2" fillId="0" borderId="0" xfId="0" applyNumberFormat="1" applyFont="1"/>
    <xf numFmtId="3" fontId="2" fillId="0" borderId="33" xfId="0" applyNumberFormat="1" applyFont="1" applyBorder="1" applyAlignment="1">
      <alignment horizontal="center"/>
    </xf>
    <xf numFmtId="173" fontId="0" fillId="0" borderId="0" xfId="0" applyNumberFormat="1" applyAlignment="1">
      <alignment horizontal="center"/>
    </xf>
    <xf numFmtId="0" fontId="15" fillId="0" borderId="0" xfId="0" applyFont="1" applyAlignment="1">
      <alignment horizontal="center"/>
    </xf>
    <xf numFmtId="173" fontId="15" fillId="0" borderId="0" xfId="0" applyNumberFormat="1" applyFont="1" applyAlignment="1">
      <alignment horizontal="center"/>
    </xf>
    <xf numFmtId="3" fontId="15" fillId="0" borderId="0" xfId="0" applyNumberFormat="1" applyFont="1" applyAlignment="1">
      <alignment horizontal="center"/>
    </xf>
    <xf numFmtId="3" fontId="0" fillId="12" borderId="0" xfId="0" applyNumberFormat="1" applyFill="1"/>
    <xf numFmtId="3" fontId="2" fillId="12" borderId="0" xfId="0" applyNumberFormat="1" applyFont="1" applyFill="1"/>
    <xf numFmtId="0" fontId="0" fillId="0" borderId="21" xfId="0" applyFont="1" applyBorder="1"/>
    <xf numFmtId="0" fontId="0" fillId="0" borderId="21" xfId="0" applyFont="1" applyBorder="1" applyAlignment="1">
      <alignment horizontal="center"/>
    </xf>
    <xf numFmtId="0" fontId="0" fillId="0" borderId="22" xfId="0" applyFont="1" applyBorder="1"/>
    <xf numFmtId="0" fontId="2" fillId="0" borderId="32" xfId="0" applyFont="1" applyBorder="1"/>
    <xf numFmtId="3" fontId="2" fillId="0" borderId="32" xfId="0" applyNumberFormat="1" applyFont="1" applyBorder="1" applyAlignment="1">
      <alignment horizontal="center"/>
    </xf>
    <xf numFmtId="3" fontId="2" fillId="0" borderId="3" xfId="0" applyNumberFormat="1" applyFont="1" applyBorder="1" applyAlignment="1">
      <alignment horizontal="center"/>
    </xf>
    <xf numFmtId="0" fontId="41" fillId="0" borderId="19" xfId="0" applyFont="1" applyBorder="1"/>
    <xf numFmtId="0" fontId="2" fillId="0" borderId="38" xfId="0" applyFont="1" applyBorder="1"/>
    <xf numFmtId="0" fontId="2" fillId="0" borderId="2" xfId="0" applyFont="1" applyBorder="1" applyAlignment="1">
      <alignment horizontal="center"/>
    </xf>
    <xf numFmtId="3" fontId="2" fillId="0" borderId="2" xfId="0" applyNumberFormat="1" applyFont="1" applyBorder="1" applyAlignment="1">
      <alignment horizontal="center"/>
    </xf>
    <xf numFmtId="3" fontId="2" fillId="0" borderId="41" xfId="0" applyNumberFormat="1" applyFont="1" applyBorder="1" applyAlignment="1">
      <alignment horizontal="center"/>
    </xf>
    <xf numFmtId="3" fontId="2" fillId="0" borderId="0" xfId="0" applyNumberFormat="1" applyFont="1" applyBorder="1" applyAlignment="1">
      <alignment horizontal="center"/>
    </xf>
    <xf numFmtId="0" fontId="20" fillId="0" borderId="0" xfId="0" applyFont="1" applyAlignment="1">
      <alignment horizontal="left" vertical="top"/>
    </xf>
    <xf numFmtId="0" fontId="20" fillId="0" borderId="0" xfId="0" applyFont="1" applyAlignment="1">
      <alignment horizontal="right" vertical="top"/>
    </xf>
    <xf numFmtId="0" fontId="21" fillId="0" borderId="0" xfId="0" applyFont="1" applyAlignment="1">
      <alignment vertical="top"/>
    </xf>
    <xf numFmtId="3" fontId="22" fillId="0" borderId="0" xfId="0" applyNumberFormat="1" applyFont="1" applyAlignment="1">
      <alignment vertical="top"/>
    </xf>
    <xf numFmtId="4" fontId="22" fillId="0" borderId="0" xfId="0" applyNumberFormat="1" applyFont="1" applyAlignment="1">
      <alignment vertical="top"/>
    </xf>
    <xf numFmtId="0" fontId="22" fillId="0" borderId="0" xfId="0" applyFont="1" applyAlignment="1">
      <alignment vertical="top"/>
    </xf>
    <xf numFmtId="3" fontId="23" fillId="0" borderId="0" xfId="3" applyNumberFormat="1">
      <alignment vertical="top"/>
    </xf>
    <xf numFmtId="0" fontId="24" fillId="0" borderId="0" xfId="0" applyFont="1" applyAlignment="1">
      <alignment horizontal="left" vertical="top"/>
    </xf>
    <xf numFmtId="167" fontId="22" fillId="0" borderId="0" xfId="0" applyNumberFormat="1" applyFont="1" applyAlignment="1">
      <alignment vertical="top"/>
    </xf>
    <xf numFmtId="0" fontId="20" fillId="0" borderId="0" xfId="3" applyFont="1" applyAlignment="1">
      <alignment horizontal="left" vertical="top"/>
    </xf>
    <xf numFmtId="0" fontId="23" fillId="0" borderId="0" xfId="3">
      <alignment vertical="top"/>
    </xf>
    <xf numFmtId="0" fontId="20" fillId="0" borderId="0" xfId="3" applyFont="1" applyAlignment="1">
      <alignment horizontal="right" vertical="top"/>
    </xf>
    <xf numFmtId="0" fontId="21" fillId="0" borderId="0" xfId="3" applyFont="1">
      <alignment vertical="top"/>
    </xf>
    <xf numFmtId="3" fontId="22" fillId="0" borderId="0" xfId="3" applyNumberFormat="1" applyFont="1">
      <alignment vertical="top"/>
    </xf>
    <xf numFmtId="4" fontId="22" fillId="0" borderId="0" xfId="3" applyNumberFormat="1" applyFont="1">
      <alignment vertical="top"/>
    </xf>
    <xf numFmtId="0" fontId="22" fillId="0" borderId="0" xfId="3" applyFont="1">
      <alignment vertical="top"/>
    </xf>
    <xf numFmtId="0" fontId="24" fillId="0" borderId="0" xfId="3" applyFont="1" applyAlignment="1">
      <alignment horizontal="left" vertical="top"/>
    </xf>
    <xf numFmtId="167" fontId="22" fillId="0" borderId="0" xfId="3" applyNumberFormat="1" applyFont="1">
      <alignment vertical="top"/>
    </xf>
    <xf numFmtId="0" fontId="25" fillId="0" borderId="0" xfId="0" applyFont="1" applyAlignment="1">
      <alignment horizontal="left" vertical="top"/>
    </xf>
    <xf numFmtId="0" fontId="25" fillId="0" borderId="0" xfId="0" applyFont="1" applyAlignment="1">
      <alignment horizontal="right" vertical="top"/>
    </xf>
    <xf numFmtId="0" fontId="26" fillId="0" borderId="0" xfId="0" applyFont="1" applyAlignment="1">
      <alignment vertical="top"/>
    </xf>
    <xf numFmtId="3" fontId="27" fillId="0" borderId="0" xfId="0" applyNumberFormat="1" applyFont="1" applyAlignment="1">
      <alignment vertical="top"/>
    </xf>
    <xf numFmtId="4" fontId="27" fillId="0" borderId="0" xfId="0" applyNumberFormat="1" applyFont="1" applyAlignment="1">
      <alignment vertical="top"/>
    </xf>
    <xf numFmtId="0" fontId="27" fillId="0" borderId="0" xfId="0" applyFont="1" applyAlignment="1">
      <alignment vertical="top"/>
    </xf>
    <xf numFmtId="0" fontId="28" fillId="0" borderId="0" xfId="0" applyFont="1" applyAlignment="1">
      <alignment horizontal="left" vertical="top"/>
    </xf>
    <xf numFmtId="167" fontId="27" fillId="0" borderId="0" xfId="0" applyNumberFormat="1" applyFont="1" applyAlignment="1">
      <alignment vertical="top"/>
    </xf>
    <xf numFmtId="0" fontId="25" fillId="0" borderId="0" xfId="3" applyFont="1" applyAlignment="1">
      <alignment horizontal="left" vertical="top"/>
    </xf>
    <xf numFmtId="0" fontId="25" fillId="0" borderId="0" xfId="3" applyFont="1" applyAlignment="1">
      <alignment horizontal="right" vertical="top"/>
    </xf>
    <xf numFmtId="0" fontId="26" fillId="0" borderId="0" xfId="3" applyFont="1">
      <alignment vertical="top"/>
    </xf>
    <xf numFmtId="3" fontId="27" fillId="0" borderId="0" xfId="3" applyNumberFormat="1" applyFont="1">
      <alignment vertical="top"/>
    </xf>
    <xf numFmtId="4" fontId="27" fillId="0" borderId="0" xfId="3" applyNumberFormat="1" applyFont="1">
      <alignment vertical="top"/>
    </xf>
    <xf numFmtId="0" fontId="27" fillId="0" borderId="0" xfId="3" applyFont="1">
      <alignment vertical="top"/>
    </xf>
    <xf numFmtId="0" fontId="28" fillId="0" borderId="0" xfId="3" applyFont="1" applyAlignment="1">
      <alignment horizontal="left" vertical="top"/>
    </xf>
    <xf numFmtId="167" fontId="27" fillId="0" borderId="0" xfId="3" applyNumberFormat="1" applyFont="1">
      <alignment vertical="top"/>
    </xf>
    <xf numFmtId="0" fontId="25" fillId="0" borderId="10" xfId="6" applyFont="1" applyBorder="1" applyAlignment="1">
      <alignment horizontal="left" vertical="top"/>
    </xf>
    <xf numFmtId="0" fontId="23" fillId="0" borderId="8" xfId="6" applyBorder="1">
      <alignment vertical="top"/>
    </xf>
    <xf numFmtId="0" fontId="23" fillId="0" borderId="13" xfId="6" applyBorder="1">
      <alignment vertical="top"/>
    </xf>
    <xf numFmtId="0" fontId="23" fillId="0" borderId="0" xfId="6" applyBorder="1">
      <alignment vertical="top"/>
    </xf>
    <xf numFmtId="0" fontId="23" fillId="0" borderId="14" xfId="6" applyBorder="1">
      <alignment vertical="top"/>
    </xf>
    <xf numFmtId="0" fontId="26" fillId="0" borderId="13" xfId="6" applyFont="1" applyBorder="1">
      <alignment vertical="top"/>
    </xf>
    <xf numFmtId="0" fontId="26" fillId="0" borderId="0" xfId="6" applyFont="1" applyBorder="1">
      <alignment vertical="top"/>
    </xf>
    <xf numFmtId="0" fontId="27" fillId="0" borderId="13" xfId="6" applyFont="1" applyBorder="1">
      <alignment vertical="top"/>
    </xf>
    <xf numFmtId="0" fontId="23" fillId="0" borderId="13" xfId="0" applyFont="1" applyBorder="1" applyAlignment="1">
      <alignment vertical="top"/>
    </xf>
    <xf numFmtId="0" fontId="23" fillId="0" borderId="12" xfId="0" applyFont="1" applyBorder="1" applyAlignment="1">
      <alignment vertical="top"/>
    </xf>
    <xf numFmtId="0" fontId="28" fillId="0" borderId="12" xfId="6" applyFont="1" applyBorder="1" applyAlignment="1">
      <alignment horizontal="left" vertical="top"/>
    </xf>
    <xf numFmtId="0" fontId="23" fillId="0" borderId="7" xfId="6" applyBorder="1">
      <alignment vertical="top"/>
    </xf>
    <xf numFmtId="0" fontId="25" fillId="0" borderId="8" xfId="6" applyFont="1" applyBorder="1" applyAlignment="1">
      <alignment horizontal="right" vertical="top"/>
    </xf>
    <xf numFmtId="0" fontId="25" fillId="0" borderId="15" xfId="6" applyFont="1" applyBorder="1" applyAlignment="1">
      <alignment horizontal="right" vertical="top"/>
    </xf>
    <xf numFmtId="3" fontId="27" fillId="0" borderId="0" xfId="6" applyNumberFormat="1" applyFont="1" applyBorder="1">
      <alignment vertical="top"/>
    </xf>
    <xf numFmtId="4" fontId="27" fillId="0" borderId="14" xfId="6" applyNumberFormat="1" applyFont="1" applyBorder="1">
      <alignment vertical="top"/>
    </xf>
    <xf numFmtId="3" fontId="0" fillId="0" borderId="7" xfId="0" applyNumberFormat="1" applyBorder="1" applyAlignment="1">
      <alignment vertical="top"/>
    </xf>
    <xf numFmtId="0" fontId="0" fillId="0" borderId="16" xfId="0" applyBorder="1" applyAlignment="1">
      <alignment vertical="top"/>
    </xf>
    <xf numFmtId="3" fontId="27" fillId="0" borderId="7" xfId="6" applyNumberFormat="1" applyFont="1" applyBorder="1">
      <alignment vertical="top"/>
    </xf>
    <xf numFmtId="167" fontId="27" fillId="0" borderId="16" xfId="6" applyNumberFormat="1" applyFont="1" applyBorder="1">
      <alignment vertical="top"/>
    </xf>
    <xf numFmtId="0" fontId="25" fillId="0" borderId="10" xfId="7" applyFont="1" applyBorder="1" applyAlignment="1">
      <alignment horizontal="left" vertical="top"/>
    </xf>
    <xf numFmtId="0" fontId="23" fillId="0" borderId="8" xfId="7" applyBorder="1">
      <alignment vertical="top"/>
    </xf>
    <xf numFmtId="0" fontId="25" fillId="0" borderId="8" xfId="7" applyFont="1" applyBorder="1" applyAlignment="1">
      <alignment horizontal="right" vertical="top"/>
    </xf>
    <xf numFmtId="0" fontId="25" fillId="0" borderId="15" xfId="7" applyFont="1" applyBorder="1" applyAlignment="1">
      <alignment horizontal="right" vertical="top"/>
    </xf>
    <xf numFmtId="0" fontId="23" fillId="0" borderId="13" xfId="7" applyBorder="1">
      <alignment vertical="top"/>
    </xf>
    <xf numFmtId="0" fontId="23" fillId="0" borderId="0" xfId="7" applyBorder="1">
      <alignment vertical="top"/>
    </xf>
    <xf numFmtId="0" fontId="23" fillId="0" borderId="14" xfId="7" applyBorder="1">
      <alignment vertical="top"/>
    </xf>
    <xf numFmtId="0" fontId="26" fillId="0" borderId="13" xfId="7" applyFont="1" applyBorder="1">
      <alignment vertical="top"/>
    </xf>
    <xf numFmtId="0" fontId="26" fillId="0" borderId="0" xfId="7" applyFont="1" applyBorder="1">
      <alignment vertical="top"/>
    </xf>
    <xf numFmtId="3" fontId="27" fillId="0" borderId="0" xfId="7" applyNumberFormat="1" applyFont="1" applyBorder="1">
      <alignment vertical="top"/>
    </xf>
    <xf numFmtId="4" fontId="27" fillId="0" borderId="14" xfId="7" applyNumberFormat="1" applyFont="1" applyBorder="1">
      <alignment vertical="top"/>
    </xf>
    <xf numFmtId="0" fontId="27" fillId="0" borderId="13" xfId="7" applyFont="1" applyBorder="1">
      <alignment vertical="top"/>
    </xf>
    <xf numFmtId="0" fontId="28" fillId="0" borderId="12" xfId="7" applyFont="1" applyBorder="1" applyAlignment="1">
      <alignment horizontal="left" vertical="top"/>
    </xf>
    <xf numFmtId="0" fontId="23" fillId="0" borderId="7" xfId="7" applyBorder="1">
      <alignment vertical="top"/>
    </xf>
    <xf numFmtId="3" fontId="27" fillId="0" borderId="7" xfId="7" applyNumberFormat="1" applyFont="1" applyBorder="1">
      <alignment vertical="top"/>
    </xf>
    <xf numFmtId="167" fontId="27" fillId="0" borderId="16" xfId="7" applyNumberFormat="1" applyFont="1" applyBorder="1">
      <alignment vertical="top"/>
    </xf>
    <xf numFmtId="0" fontId="23" fillId="0" borderId="10" xfId="0" applyFont="1" applyBorder="1" applyAlignment="1">
      <alignment vertical="top"/>
    </xf>
    <xf numFmtId="3" fontId="0" fillId="0" borderId="8" xfId="0" applyNumberFormat="1" applyBorder="1" applyAlignment="1">
      <alignment vertical="top"/>
    </xf>
    <xf numFmtId="0" fontId="25" fillId="0" borderId="10" xfId="8" applyFont="1" applyBorder="1" applyAlignment="1">
      <alignment horizontal="left" vertical="top"/>
    </xf>
    <xf numFmtId="0" fontId="23" fillId="0" borderId="8" xfId="8" applyBorder="1">
      <alignment vertical="top"/>
    </xf>
    <xf numFmtId="0" fontId="25" fillId="0" borderId="8" xfId="8" applyFont="1" applyBorder="1" applyAlignment="1">
      <alignment horizontal="right" vertical="top"/>
    </xf>
    <xf numFmtId="0" fontId="25" fillId="0" borderId="15" xfId="8" applyFont="1" applyBorder="1" applyAlignment="1">
      <alignment horizontal="right" vertical="top"/>
    </xf>
    <xf numFmtId="0" fontId="23" fillId="0" borderId="13" xfId="8" applyBorder="1">
      <alignment vertical="top"/>
    </xf>
    <xf numFmtId="0" fontId="23" fillId="0" borderId="0" xfId="8" applyBorder="1">
      <alignment vertical="top"/>
    </xf>
    <xf numFmtId="0" fontId="23" fillId="0" borderId="14" xfId="8" applyBorder="1">
      <alignment vertical="top"/>
    </xf>
    <xf numFmtId="0" fontId="26" fillId="0" borderId="13" xfId="8" applyFont="1" applyBorder="1">
      <alignment vertical="top"/>
    </xf>
    <xf numFmtId="0" fontId="26" fillId="0" borderId="0" xfId="8" applyFont="1" applyBorder="1">
      <alignment vertical="top"/>
    </xf>
    <xf numFmtId="3" fontId="27" fillId="0" borderId="0" xfId="8" applyNumberFormat="1" applyFont="1" applyBorder="1">
      <alignment vertical="top"/>
    </xf>
    <xf numFmtId="4" fontId="27" fillId="0" borderId="14" xfId="8" applyNumberFormat="1" applyFont="1" applyBorder="1">
      <alignment vertical="top"/>
    </xf>
    <xf numFmtId="0" fontId="27" fillId="0" borderId="13" xfId="8" applyFont="1" applyBorder="1">
      <alignment vertical="top"/>
    </xf>
    <xf numFmtId="0" fontId="28" fillId="0" borderId="12" xfId="8" applyFont="1" applyBorder="1" applyAlignment="1">
      <alignment horizontal="left" vertical="top"/>
    </xf>
    <xf numFmtId="0" fontId="23" fillId="0" borderId="7" xfId="8" applyBorder="1">
      <alignment vertical="top"/>
    </xf>
    <xf numFmtId="3" fontId="27" fillId="0" borderId="7" xfId="8" applyNumberFormat="1" applyFont="1" applyBorder="1">
      <alignment vertical="top"/>
    </xf>
    <xf numFmtId="167" fontId="27" fillId="0" borderId="16" xfId="8" applyNumberFormat="1" applyFont="1" applyBorder="1">
      <alignment vertical="top"/>
    </xf>
    <xf numFmtId="0" fontId="25" fillId="0" borderId="10" xfId="9" applyFont="1" applyBorder="1" applyAlignment="1">
      <alignment horizontal="left" vertical="top"/>
    </xf>
    <xf numFmtId="0" fontId="23" fillId="0" borderId="8" xfId="9" applyBorder="1">
      <alignment vertical="top"/>
    </xf>
    <xf numFmtId="0" fontId="25" fillId="0" borderId="8" xfId="9" applyFont="1" applyBorder="1" applyAlignment="1">
      <alignment horizontal="right" vertical="top"/>
    </xf>
    <xf numFmtId="0" fontId="25" fillId="0" borderId="15" xfId="9" applyFont="1" applyBorder="1" applyAlignment="1">
      <alignment horizontal="right" vertical="top"/>
    </xf>
    <xf numFmtId="0" fontId="23" fillId="0" borderId="13" xfId="9" applyBorder="1">
      <alignment vertical="top"/>
    </xf>
    <xf numFmtId="0" fontId="23" fillId="0" borderId="0" xfId="9" applyBorder="1">
      <alignment vertical="top"/>
    </xf>
    <xf numFmtId="0" fontId="23" fillId="0" borderId="14" xfId="9" applyBorder="1">
      <alignment vertical="top"/>
    </xf>
    <xf numFmtId="0" fontId="26" fillId="0" borderId="13" xfId="9" applyFont="1" applyBorder="1">
      <alignment vertical="top"/>
    </xf>
    <xf numFmtId="0" fontId="26" fillId="0" borderId="0" xfId="9" applyFont="1" applyBorder="1">
      <alignment vertical="top"/>
    </xf>
    <xf numFmtId="3" fontId="27" fillId="0" borderId="0" xfId="9" applyNumberFormat="1" applyFont="1" applyBorder="1">
      <alignment vertical="top"/>
    </xf>
    <xf numFmtId="4" fontId="27" fillId="0" borderId="14" xfId="9" applyNumberFormat="1" applyFont="1" applyBorder="1">
      <alignment vertical="top"/>
    </xf>
    <xf numFmtId="0" fontId="27" fillId="0" borderId="13" xfId="9" applyFont="1" applyBorder="1">
      <alignment vertical="top"/>
    </xf>
    <xf numFmtId="0" fontId="28" fillId="0" borderId="12" xfId="9" applyFont="1" applyBorder="1" applyAlignment="1">
      <alignment horizontal="left" vertical="top"/>
    </xf>
    <xf numFmtId="0" fontId="23" fillId="0" borderId="7" xfId="9" applyBorder="1">
      <alignment vertical="top"/>
    </xf>
    <xf numFmtId="3" fontId="27" fillId="0" borderId="7" xfId="9" applyNumberFormat="1" applyFont="1" applyBorder="1">
      <alignment vertical="top"/>
    </xf>
    <xf numFmtId="167" fontId="27" fillId="0" borderId="16" xfId="9" applyNumberFormat="1" applyFont="1" applyBorder="1">
      <alignment vertical="top"/>
    </xf>
    <xf numFmtId="0" fontId="25" fillId="0" borderId="10" xfId="10" applyFont="1" applyBorder="1" applyAlignment="1">
      <alignment horizontal="left" vertical="top"/>
    </xf>
    <xf numFmtId="0" fontId="23" fillId="0" borderId="8" xfId="10" applyBorder="1">
      <alignment vertical="top"/>
    </xf>
    <xf numFmtId="0" fontId="25" fillId="0" borderId="8" xfId="10" applyFont="1" applyBorder="1" applyAlignment="1">
      <alignment horizontal="right" vertical="top"/>
    </xf>
    <xf numFmtId="0" fontId="25" fillId="0" borderId="15" xfId="10" applyFont="1" applyBorder="1" applyAlignment="1">
      <alignment horizontal="right" vertical="top"/>
    </xf>
    <xf numFmtId="0" fontId="23" fillId="0" borderId="13" xfId="10" applyBorder="1">
      <alignment vertical="top"/>
    </xf>
    <xf numFmtId="0" fontId="23" fillId="0" borderId="0" xfId="10" applyBorder="1">
      <alignment vertical="top"/>
    </xf>
    <xf numFmtId="0" fontId="23" fillId="0" borderId="14" xfId="10" applyBorder="1">
      <alignment vertical="top"/>
    </xf>
    <xf numFmtId="0" fontId="26" fillId="0" borderId="13" xfId="10" applyFont="1" applyBorder="1">
      <alignment vertical="top"/>
    </xf>
    <xf numFmtId="0" fontId="26" fillId="0" borderId="0" xfId="10" applyFont="1" applyBorder="1">
      <alignment vertical="top"/>
    </xf>
    <xf numFmtId="3" fontId="27" fillId="0" borderId="0" xfId="10" applyNumberFormat="1" applyFont="1" applyBorder="1">
      <alignment vertical="top"/>
    </xf>
    <xf numFmtId="4" fontId="27" fillId="0" borderId="14" xfId="10" applyNumberFormat="1" applyFont="1" applyBorder="1">
      <alignment vertical="top"/>
    </xf>
    <xf numFmtId="0" fontId="27" fillId="0" borderId="13" xfId="10" applyFont="1" applyBorder="1">
      <alignment vertical="top"/>
    </xf>
    <xf numFmtId="0" fontId="28" fillId="0" borderId="12" xfId="10" applyFont="1" applyBorder="1" applyAlignment="1">
      <alignment horizontal="left" vertical="top"/>
    </xf>
    <xf numFmtId="0" fontId="23" fillId="0" borderId="7" xfId="10" applyBorder="1">
      <alignment vertical="top"/>
    </xf>
    <xf numFmtId="3" fontId="27" fillId="0" borderId="7" xfId="10" applyNumberFormat="1" applyFont="1" applyBorder="1">
      <alignment vertical="top"/>
    </xf>
    <xf numFmtId="167" fontId="27" fillId="0" borderId="16" xfId="10" applyNumberFormat="1" applyFont="1" applyBorder="1">
      <alignment vertical="top"/>
    </xf>
    <xf numFmtId="0" fontId="25" fillId="0" borderId="10" xfId="11" applyFont="1" applyBorder="1" applyAlignment="1">
      <alignment horizontal="left" vertical="top"/>
    </xf>
    <xf numFmtId="0" fontId="23" fillId="0" borderId="8" xfId="11" applyBorder="1">
      <alignment vertical="top"/>
    </xf>
    <xf numFmtId="0" fontId="25" fillId="0" borderId="8" xfId="11" applyFont="1" applyBorder="1" applyAlignment="1">
      <alignment horizontal="right" vertical="top"/>
    </xf>
    <xf numFmtId="0" fontId="25" fillId="0" borderId="15" xfId="11" applyFont="1" applyBorder="1" applyAlignment="1">
      <alignment horizontal="right" vertical="top"/>
    </xf>
    <xf numFmtId="0" fontId="23" fillId="0" borderId="13" xfId="11" applyBorder="1">
      <alignment vertical="top"/>
    </xf>
    <xf numFmtId="0" fontId="23" fillId="0" borderId="0" xfId="11" applyBorder="1">
      <alignment vertical="top"/>
    </xf>
    <xf numFmtId="0" fontId="23" fillId="0" borderId="14" xfId="11" applyBorder="1">
      <alignment vertical="top"/>
    </xf>
    <xf numFmtId="0" fontId="26" fillId="0" borderId="13" xfId="11" applyFont="1" applyBorder="1">
      <alignment vertical="top"/>
    </xf>
    <xf numFmtId="0" fontId="26" fillId="0" borderId="0" xfId="11" applyFont="1" applyBorder="1">
      <alignment vertical="top"/>
    </xf>
    <xf numFmtId="3" fontId="27" fillId="0" borderId="0" xfId="11" applyNumberFormat="1" applyFont="1" applyBorder="1">
      <alignment vertical="top"/>
    </xf>
    <xf numFmtId="4" fontId="27" fillId="0" borderId="14" xfId="11" applyNumberFormat="1" applyFont="1" applyBorder="1">
      <alignment vertical="top"/>
    </xf>
    <xf numFmtId="0" fontId="27" fillId="0" borderId="13" xfId="11" applyFont="1" applyBorder="1">
      <alignment vertical="top"/>
    </xf>
    <xf numFmtId="0" fontId="28" fillId="0" borderId="12" xfId="11" applyFont="1" applyBorder="1" applyAlignment="1">
      <alignment horizontal="left" vertical="top"/>
    </xf>
    <xf numFmtId="0" fontId="23" fillId="0" borderId="7" xfId="11" applyBorder="1">
      <alignment vertical="top"/>
    </xf>
    <xf numFmtId="3" fontId="27" fillId="0" borderId="7" xfId="11" applyNumberFormat="1" applyFont="1" applyBorder="1">
      <alignment vertical="top"/>
    </xf>
    <xf numFmtId="167" fontId="27" fillId="0" borderId="16" xfId="11" applyNumberFormat="1" applyFont="1" applyBorder="1">
      <alignment vertical="top"/>
    </xf>
    <xf numFmtId="0" fontId="0" fillId="0" borderId="10" xfId="0" applyBorder="1" applyAlignment="1">
      <alignment vertical="top"/>
    </xf>
    <xf numFmtId="0" fontId="23" fillId="0" borderId="13" xfId="0" applyFont="1" applyFill="1" applyBorder="1" applyAlignment="1">
      <alignment vertical="top"/>
    </xf>
    <xf numFmtId="0" fontId="23" fillId="0" borderId="12" xfId="0" applyFont="1" applyFill="1" applyBorder="1" applyAlignment="1">
      <alignment vertical="top"/>
    </xf>
    <xf numFmtId="3" fontId="0" fillId="0" borderId="16" xfId="0" applyNumberFormat="1" applyBorder="1"/>
    <xf numFmtId="3" fontId="0" fillId="12" borderId="0" xfId="0" applyNumberFormat="1" applyFill="1" applyBorder="1" applyAlignment="1">
      <alignment horizontal="center" wrapText="1"/>
    </xf>
    <xf numFmtId="0" fontId="8" fillId="0" borderId="19" xfId="2" applyBorder="1" applyAlignment="1" applyProtection="1">
      <alignment wrapText="1"/>
    </xf>
    <xf numFmtId="164" fontId="2" fillId="0" borderId="19" xfId="1" applyNumberFormat="1" applyFont="1" applyBorder="1" applyAlignment="1">
      <alignment horizontal="center" wrapText="1"/>
    </xf>
    <xf numFmtId="0" fontId="8" fillId="0" borderId="19" xfId="2" applyBorder="1" applyAlignment="1" applyProtection="1">
      <alignment horizontal="center" wrapText="1"/>
    </xf>
    <xf numFmtId="43" fontId="2" fillId="0" borderId="20" xfId="1" applyNumberFormat="1" applyFont="1" applyBorder="1" applyAlignment="1">
      <alignment horizontal="center" wrapText="1"/>
    </xf>
    <xf numFmtId="172" fontId="2" fillId="0" borderId="20" xfId="1" applyNumberFormat="1" applyFont="1" applyBorder="1" applyAlignment="1">
      <alignment horizontal="center" wrapText="1"/>
    </xf>
    <xf numFmtId="164" fontId="2" fillId="0" borderId="14" xfId="0" applyNumberFormat="1" applyFont="1" applyBorder="1" applyAlignment="1">
      <alignment horizontal="center" wrapText="1"/>
    </xf>
    <xf numFmtId="164" fontId="2" fillId="0" borderId="16" xfId="0" applyNumberFormat="1" applyFont="1" applyBorder="1" applyAlignment="1">
      <alignment horizontal="center" wrapText="1"/>
    </xf>
    <xf numFmtId="164" fontId="2" fillId="0" borderId="20" xfId="1" applyNumberFormat="1" applyFont="1" applyBorder="1" applyAlignment="1">
      <alignment horizontal="center" wrapText="1"/>
    </xf>
    <xf numFmtId="2" fontId="0" fillId="0" borderId="13" xfId="0" applyNumberFormat="1" applyBorder="1" applyAlignment="1">
      <alignment horizontal="center" wrapText="1"/>
    </xf>
    <xf numFmtId="2" fontId="0" fillId="0" borderId="12" xfId="0" applyNumberFormat="1" applyBorder="1" applyAlignment="1">
      <alignment horizontal="center" wrapText="1"/>
    </xf>
    <xf numFmtId="169" fontId="0" fillId="0" borderId="13" xfId="0" applyNumberFormat="1" applyBorder="1" applyAlignment="1">
      <alignment horizontal="center" wrapText="1"/>
    </xf>
    <xf numFmtId="169" fontId="0" fillId="0" borderId="12" xfId="0" applyNumberFormat="1" applyBorder="1" applyAlignment="1">
      <alignment horizontal="center" wrapText="1"/>
    </xf>
    <xf numFmtId="3" fontId="0" fillId="0" borderId="11" xfId="0" applyNumberFormat="1" applyBorder="1" applyAlignment="1">
      <alignment horizontal="center" wrapText="1"/>
    </xf>
    <xf numFmtId="3" fontId="0" fillId="0" borderId="23" xfId="0" applyNumberFormat="1" applyBorder="1" applyAlignment="1">
      <alignment horizontal="center" wrapText="1"/>
    </xf>
    <xf numFmtId="4" fontId="0" fillId="0" borderId="13" xfId="0" applyNumberFormat="1" applyBorder="1" applyAlignment="1">
      <alignment horizontal="center" wrapText="1"/>
    </xf>
    <xf numFmtId="4" fontId="0" fillId="0" borderId="12" xfId="0" applyNumberFormat="1" applyBorder="1" applyAlignment="1">
      <alignment horizontal="center" wrapText="1"/>
    </xf>
    <xf numFmtId="164" fontId="0" fillId="0" borderId="10" xfId="1" applyNumberFormat="1" applyFont="1" applyBorder="1" applyAlignment="1">
      <alignment horizontal="center" wrapText="1"/>
    </xf>
    <xf numFmtId="164" fontId="0" fillId="0" borderId="13" xfId="1" applyNumberFormat="1" applyFont="1" applyBorder="1" applyAlignment="1">
      <alignment horizontal="center" wrapText="1"/>
    </xf>
    <xf numFmtId="164" fontId="0" fillId="0" borderId="12" xfId="1" applyNumberFormat="1" applyFont="1" applyBorder="1" applyAlignment="1">
      <alignment horizontal="center" wrapText="1"/>
    </xf>
    <xf numFmtId="4" fontId="0" fillId="0" borderId="10" xfId="0" applyNumberFormat="1" applyBorder="1" applyAlignment="1">
      <alignment horizontal="center" wrapText="1"/>
    </xf>
    <xf numFmtId="164" fontId="0" fillId="0" borderId="15" xfId="1" applyNumberFormat="1" applyFont="1" applyBorder="1" applyAlignment="1">
      <alignment horizontal="center" wrapText="1"/>
    </xf>
    <xf numFmtId="0" fontId="0" fillId="0" borderId="8" xfId="0" applyBorder="1" applyAlignment="1">
      <alignment horizontal="center"/>
    </xf>
    <xf numFmtId="0" fontId="0" fillId="0" borderId="7" xfId="0" applyBorder="1" applyAlignment="1">
      <alignment horizontal="center"/>
    </xf>
    <xf numFmtId="0" fontId="0" fillId="12" borderId="13" xfId="0" applyFill="1" applyBorder="1" applyAlignment="1">
      <alignment horizontal="center" wrapText="1"/>
    </xf>
    <xf numFmtId="0" fontId="0" fillId="12" borderId="14" xfId="0" applyFill="1" applyBorder="1" applyAlignment="1">
      <alignment horizontal="center" wrapText="1"/>
    </xf>
    <xf numFmtId="4" fontId="0" fillId="12" borderId="13" xfId="0" applyNumberFormat="1" applyFill="1" applyBorder="1" applyAlignment="1">
      <alignment horizontal="center" wrapText="1"/>
    </xf>
    <xf numFmtId="164" fontId="0" fillId="12" borderId="14" xfId="1" applyNumberFormat="1" applyFont="1" applyFill="1" applyBorder="1" applyAlignment="1">
      <alignment horizontal="center" wrapText="1"/>
    </xf>
    <xf numFmtId="168" fontId="0" fillId="12" borderId="0" xfId="0" applyNumberFormat="1" applyFill="1" applyBorder="1" applyAlignment="1">
      <alignment horizontal="center" wrapText="1"/>
    </xf>
    <xf numFmtId="164" fontId="0" fillId="12" borderId="0" xfId="0" applyNumberFormat="1" applyFill="1" applyBorder="1" applyAlignment="1">
      <alignment horizontal="center" wrapText="1"/>
    </xf>
    <xf numFmtId="164" fontId="0" fillId="12" borderId="14" xfId="0" applyNumberFormat="1" applyFill="1" applyBorder="1" applyAlignment="1">
      <alignment horizontal="center" wrapText="1"/>
    </xf>
    <xf numFmtId="164" fontId="2" fillId="12" borderId="11" xfId="0" applyNumberFormat="1" applyFont="1" applyFill="1" applyBorder="1" applyAlignment="1">
      <alignment horizontal="center" wrapText="1"/>
    </xf>
    <xf numFmtId="0" fontId="0" fillId="13" borderId="13" xfId="0" applyFill="1" applyBorder="1" applyAlignment="1">
      <alignment horizontal="center" wrapText="1"/>
    </xf>
    <xf numFmtId="0" fontId="0" fillId="13" borderId="14" xfId="0" applyFill="1" applyBorder="1" applyAlignment="1">
      <alignment horizontal="center" wrapText="1"/>
    </xf>
    <xf numFmtId="3" fontId="0" fillId="13" borderId="0" xfId="0" applyNumberFormat="1" applyFill="1" applyBorder="1" applyAlignment="1">
      <alignment horizontal="center" wrapText="1"/>
    </xf>
    <xf numFmtId="4" fontId="0" fillId="13" borderId="13" xfId="0" applyNumberFormat="1" applyFill="1" applyBorder="1" applyAlignment="1">
      <alignment horizontal="center" wrapText="1"/>
    </xf>
    <xf numFmtId="164" fontId="0" fillId="13" borderId="14" xfId="1" applyNumberFormat="1" applyFont="1" applyFill="1" applyBorder="1" applyAlignment="1">
      <alignment horizontal="center" wrapText="1"/>
    </xf>
    <xf numFmtId="168" fontId="0" fillId="13" borderId="0" xfId="0" applyNumberFormat="1" applyFill="1" applyBorder="1" applyAlignment="1">
      <alignment horizontal="center" wrapText="1"/>
    </xf>
    <xf numFmtId="164" fontId="0" fillId="13" borderId="0" xfId="0" applyNumberFormat="1" applyFill="1" applyBorder="1" applyAlignment="1">
      <alignment horizontal="center" wrapText="1"/>
    </xf>
    <xf numFmtId="164" fontId="0" fillId="13" borderId="14" xfId="0" applyNumberFormat="1" applyFill="1" applyBorder="1" applyAlignment="1">
      <alignment horizontal="center" wrapText="1"/>
    </xf>
    <xf numFmtId="164" fontId="2" fillId="13" borderId="11" xfId="0" applyNumberFormat="1" applyFont="1" applyFill="1" applyBorder="1" applyAlignment="1">
      <alignment horizontal="center" wrapText="1"/>
    </xf>
    <xf numFmtId="0" fontId="2" fillId="0" borderId="20" xfId="0" applyFont="1" applyBorder="1"/>
    <xf numFmtId="164" fontId="0" fillId="0" borderId="0" xfId="1" applyNumberFormat="1" applyFont="1" applyBorder="1"/>
    <xf numFmtId="0" fontId="2" fillId="0" borderId="19" xfId="0" applyFont="1" applyBorder="1" applyAlignment="1">
      <alignment horizontal="center"/>
    </xf>
    <xf numFmtId="0" fontId="2" fillId="0" borderId="20" xfId="0" applyFont="1" applyBorder="1" applyAlignment="1">
      <alignment horizontal="center"/>
    </xf>
    <xf numFmtId="0" fontId="2" fillId="0" borderId="21" xfId="0" applyFont="1" applyBorder="1" applyAlignment="1">
      <alignment horizontal="center"/>
    </xf>
    <xf numFmtId="0" fontId="3" fillId="0" borderId="0" xfId="0" applyFont="1" applyAlignment="1"/>
    <xf numFmtId="0" fontId="0" fillId="0" borderId="0" xfId="0" applyAlignment="1"/>
    <xf numFmtId="0" fontId="2" fillId="0" borderId="8" xfId="0" applyFont="1" applyFill="1" applyBorder="1"/>
    <xf numFmtId="0" fontId="2" fillId="0" borderId="15" xfId="0" applyFont="1" applyFill="1" applyBorder="1"/>
    <xf numFmtId="0" fontId="2" fillId="0" borderId="21" xfId="0" applyFont="1" applyBorder="1"/>
    <xf numFmtId="0" fontId="2" fillId="0" borderId="21" xfId="0" applyFont="1" applyFill="1" applyBorder="1"/>
    <xf numFmtId="0" fontId="2" fillId="0" borderId="22" xfId="0" applyFont="1" applyFill="1" applyBorder="1"/>
    <xf numFmtId="164" fontId="0" fillId="0" borderId="8" xfId="1" applyNumberFormat="1" applyFont="1" applyBorder="1"/>
    <xf numFmtId="164" fontId="0" fillId="0" borderId="15" xfId="1" applyNumberFormat="1" applyFont="1" applyBorder="1"/>
    <xf numFmtId="164" fontId="0" fillId="0" borderId="14" xfId="1" applyNumberFormat="1" applyFont="1" applyBorder="1"/>
    <xf numFmtId="164" fontId="0" fillId="0" borderId="7" xfId="1" applyNumberFormat="1" applyFont="1" applyBorder="1"/>
    <xf numFmtId="164" fontId="0" fillId="0" borderId="16" xfId="1" applyNumberFormat="1" applyFont="1" applyBorder="1"/>
    <xf numFmtId="164" fontId="0" fillId="0" borderId="20" xfId="1" applyNumberFormat="1" applyFont="1" applyBorder="1"/>
    <xf numFmtId="164" fontId="0" fillId="0" borderId="21" xfId="1" applyNumberFormat="1" applyFont="1" applyBorder="1"/>
    <xf numFmtId="164" fontId="0" fillId="0" borderId="22" xfId="1" applyNumberFormat="1" applyFont="1" applyBorder="1"/>
    <xf numFmtId="0" fontId="0" fillId="0" borderId="0" xfId="0" applyFill="1" applyBorder="1" applyAlignment="1">
      <alignment horizontal="left"/>
    </xf>
    <xf numFmtId="164" fontId="2" fillId="0" borderId="21" xfId="0" applyNumberFormat="1" applyFont="1" applyBorder="1"/>
    <xf numFmtId="164" fontId="2" fillId="0" borderId="22" xfId="0" applyNumberFormat="1" applyFont="1" applyBorder="1"/>
    <xf numFmtId="0" fontId="2" fillId="0" borderId="11" xfId="0" applyFont="1" applyFill="1" applyBorder="1" applyAlignment="1">
      <alignment horizontal="center"/>
    </xf>
    <xf numFmtId="0" fontId="2" fillId="0" borderId="23" xfId="0" applyFont="1" applyFill="1" applyBorder="1" applyAlignment="1">
      <alignment horizontal="center"/>
    </xf>
    <xf numFmtId="0" fontId="2" fillId="0" borderId="0" xfId="0" applyFont="1" applyFill="1" applyBorder="1" applyAlignment="1">
      <alignment horizontal="left"/>
    </xf>
    <xf numFmtId="0" fontId="3" fillId="0" borderId="0" xfId="0" applyFont="1" applyBorder="1"/>
    <xf numFmtId="164" fontId="2" fillId="0" borderId="23" xfId="1" applyNumberFormat="1" applyFont="1" applyBorder="1" applyAlignment="1">
      <alignment horizontal="center" wrapText="1"/>
    </xf>
    <xf numFmtId="164" fontId="2" fillId="0" borderId="9" xfId="1" applyNumberFormat="1" applyFont="1" applyBorder="1" applyAlignment="1">
      <alignment horizontal="center" wrapText="1"/>
    </xf>
    <xf numFmtId="164" fontId="2" fillId="0" borderId="11" xfId="1" applyNumberFormat="1" applyFont="1" applyBorder="1" applyAlignment="1">
      <alignment horizontal="center" wrapText="1"/>
    </xf>
    <xf numFmtId="164" fontId="0" fillId="0" borderId="15" xfId="0" applyNumberFormat="1" applyFont="1" applyBorder="1" applyAlignment="1">
      <alignment horizontal="center"/>
    </xf>
    <xf numFmtId="164" fontId="0" fillId="0" borderId="14" xfId="0" applyNumberFormat="1" applyFont="1" applyBorder="1" applyAlignment="1">
      <alignment horizontal="center"/>
    </xf>
    <xf numFmtId="164" fontId="1" fillId="0" borderId="14" xfId="1" applyNumberFormat="1" applyFont="1" applyBorder="1" applyAlignment="1">
      <alignment horizontal="center"/>
    </xf>
    <xf numFmtId="164" fontId="0" fillId="0" borderId="16" xfId="0" applyNumberFormat="1" applyFont="1" applyBorder="1" applyAlignment="1">
      <alignment horizontal="center"/>
    </xf>
    <xf numFmtId="0" fontId="8" fillId="0" borderId="9" xfId="2" applyBorder="1" applyAlignment="1" applyProtection="1">
      <alignment horizontal="center" wrapText="1"/>
    </xf>
    <xf numFmtId="0" fontId="2" fillId="0" borderId="10" xfId="1" applyNumberFormat="1" applyFont="1" applyBorder="1"/>
    <xf numFmtId="0" fontId="2" fillId="0" borderId="8" xfId="1" applyNumberFormat="1" applyFont="1" applyBorder="1"/>
    <xf numFmtId="0" fontId="2" fillId="0" borderId="15" xfId="1" applyNumberFormat="1" applyFont="1" applyBorder="1"/>
    <xf numFmtId="0" fontId="9" fillId="3" borderId="0" xfId="0" applyFont="1" applyFill="1" applyBorder="1" applyAlignment="1">
      <alignment horizontal="left" vertical="top" wrapText="1"/>
    </xf>
    <xf numFmtId="0" fontId="9" fillId="3" borderId="5" xfId="0" applyFont="1" applyFill="1" applyBorder="1" applyAlignment="1">
      <alignment horizontal="left" vertical="top" wrapText="1"/>
    </xf>
    <xf numFmtId="0" fontId="9" fillId="3" borderId="3" xfId="0" applyFont="1" applyFill="1" applyBorder="1" applyAlignment="1">
      <alignment horizontal="left" vertical="top" wrapText="1"/>
    </xf>
    <xf numFmtId="0" fontId="9" fillId="4" borderId="3" xfId="0" applyFont="1" applyFill="1" applyBorder="1" applyAlignment="1">
      <alignment horizontal="left" vertical="top" wrapText="1"/>
    </xf>
    <xf numFmtId="0" fontId="9" fillId="3" borderId="3" xfId="0" applyFont="1" applyFill="1" applyBorder="1" applyAlignment="1">
      <alignment horizontal="left" vertical="top" wrapText="1"/>
    </xf>
    <xf numFmtId="0" fontId="9" fillId="3" borderId="0" xfId="0" applyFont="1" applyFill="1" applyBorder="1" applyAlignment="1">
      <alignment horizontal="left" vertical="top" wrapText="1"/>
    </xf>
    <xf numFmtId="0" fontId="9" fillId="3" borderId="5" xfId="0" applyFont="1" applyFill="1" applyBorder="1" applyAlignment="1">
      <alignment horizontal="left" vertical="top" wrapText="1"/>
    </xf>
    <xf numFmtId="0" fontId="8" fillId="0" borderId="20" xfId="2" applyBorder="1" applyAlignment="1" applyProtection="1"/>
    <xf numFmtId="0" fontId="2" fillId="0" borderId="21" xfId="0" applyFont="1" applyBorder="1" applyAlignment="1"/>
    <xf numFmtId="0" fontId="2" fillId="0" borderId="22" xfId="0" applyFont="1" applyBorder="1"/>
    <xf numFmtId="174" fontId="0" fillId="0" borderId="0" xfId="0" applyNumberFormat="1"/>
    <xf numFmtId="0" fontId="2" fillId="0" borderId="0" xfId="0" applyFont="1" applyAlignment="1">
      <alignment horizontal="left"/>
    </xf>
    <xf numFmtId="0" fontId="2" fillId="0" borderId="0" xfId="0" applyFont="1" applyFill="1" applyBorder="1" applyAlignment="1">
      <alignment horizontal="left" wrapText="1"/>
    </xf>
    <xf numFmtId="2" fontId="0" fillId="0" borderId="8" xfId="0" applyNumberFormat="1" applyBorder="1" applyAlignment="1">
      <alignment horizontal="center" wrapText="1"/>
    </xf>
    <xf numFmtId="0" fontId="0" fillId="0" borderId="0" xfId="0" applyAlignment="1">
      <alignment horizontal="left" wrapText="1"/>
    </xf>
    <xf numFmtId="0" fontId="0" fillId="0" borderId="52" xfId="0" applyBorder="1"/>
    <xf numFmtId="3" fontId="0" fillId="0" borderId="0" xfId="0" applyNumberFormat="1" applyBorder="1"/>
    <xf numFmtId="9" fontId="0" fillId="0" borderId="53" xfId="0" applyNumberFormat="1" applyBorder="1"/>
    <xf numFmtId="3" fontId="0" fillId="0" borderId="54" xfId="0" applyNumberFormat="1" applyBorder="1"/>
    <xf numFmtId="3" fontId="0" fillId="0" borderId="30" xfId="0" applyNumberFormat="1" applyBorder="1"/>
    <xf numFmtId="0" fontId="0" fillId="0" borderId="30" xfId="0" applyBorder="1"/>
    <xf numFmtId="0" fontId="0" fillId="0" borderId="55" xfId="0" applyBorder="1"/>
    <xf numFmtId="3" fontId="0" fillId="0" borderId="52" xfId="0" applyNumberFormat="1" applyBorder="1"/>
    <xf numFmtId="44" fontId="0" fillId="0" borderId="0" xfId="0" applyNumberFormat="1" applyBorder="1"/>
    <xf numFmtId="0" fontId="0" fillId="0" borderId="53" xfId="0" applyBorder="1"/>
    <xf numFmtId="44" fontId="0" fillId="0" borderId="53" xfId="0" applyNumberFormat="1" applyBorder="1"/>
    <xf numFmtId="44" fontId="0" fillId="0" borderId="30" xfId="0" applyNumberFormat="1" applyBorder="1"/>
    <xf numFmtId="44" fontId="0" fillId="0" borderId="55" xfId="0" applyNumberFormat="1" applyBorder="1"/>
    <xf numFmtId="3" fontId="0" fillId="0" borderId="53" xfId="0" applyNumberFormat="1" applyBorder="1"/>
    <xf numFmtId="44" fontId="2" fillId="0" borderId="58" xfId="0" applyNumberFormat="1" applyFont="1" applyBorder="1"/>
    <xf numFmtId="44" fontId="0" fillId="0" borderId="0" xfId="0" applyNumberFormat="1"/>
    <xf numFmtId="0" fontId="43" fillId="0" borderId="0" xfId="0" applyFont="1" applyAlignment="1">
      <alignment horizontal="left"/>
    </xf>
    <xf numFmtId="0" fontId="0" fillId="0" borderId="59" xfId="0" applyBorder="1" applyAlignment="1">
      <alignment horizontal="center"/>
    </xf>
    <xf numFmtId="0" fontId="0" fillId="0" borderId="46" xfId="0" applyBorder="1"/>
    <xf numFmtId="0" fontId="2" fillId="0" borderId="43" xfId="0" applyFont="1" applyBorder="1" applyAlignment="1">
      <alignment horizontal="center"/>
    </xf>
    <xf numFmtId="0" fontId="0" fillId="0" borderId="28" xfId="0" applyBorder="1"/>
    <xf numFmtId="0" fontId="0" fillId="0" borderId="26" xfId="0" applyBorder="1" applyAlignment="1">
      <alignment horizontal="center"/>
    </xf>
    <xf numFmtId="0" fontId="0" fillId="0" borderId="47" xfId="0" applyBorder="1"/>
    <xf numFmtId="0" fontId="0" fillId="0" borderId="27" xfId="0" applyBorder="1"/>
    <xf numFmtId="0" fontId="0" fillId="0" borderId="0" xfId="0" applyFill="1" applyBorder="1"/>
    <xf numFmtId="0" fontId="0" fillId="0" borderId="44" xfId="0" applyBorder="1"/>
    <xf numFmtId="0" fontId="0" fillId="0" borderId="31" xfId="0" applyBorder="1"/>
    <xf numFmtId="0" fontId="0" fillId="0" borderId="45" xfId="0" applyBorder="1"/>
    <xf numFmtId="0" fontId="0" fillId="0" borderId="43" xfId="0" applyBorder="1" applyAlignment="1">
      <alignment horizontal="center"/>
    </xf>
    <xf numFmtId="3" fontId="0" fillId="0" borderId="46" xfId="0" applyNumberFormat="1" applyBorder="1"/>
    <xf numFmtId="3" fontId="0" fillId="0" borderId="28" xfId="0" applyNumberFormat="1" applyBorder="1"/>
    <xf numFmtId="175" fontId="0" fillId="0" borderId="46" xfId="0" applyNumberFormat="1" applyBorder="1"/>
    <xf numFmtId="175" fontId="0" fillId="0" borderId="0" xfId="0" applyNumberFormat="1" applyBorder="1"/>
    <xf numFmtId="175" fontId="0" fillId="0" borderId="28" xfId="0" applyNumberFormat="1" applyBorder="1"/>
    <xf numFmtId="175" fontId="0" fillId="0" borderId="46" xfId="12" applyNumberFormat="1" applyFont="1" applyBorder="1"/>
    <xf numFmtId="175" fontId="0" fillId="0" borderId="0" xfId="12" applyNumberFormat="1" applyFont="1" applyFill="1" applyBorder="1"/>
    <xf numFmtId="175" fontId="0" fillId="0" borderId="28" xfId="12" applyNumberFormat="1" applyFont="1" applyBorder="1"/>
    <xf numFmtId="3" fontId="0" fillId="0" borderId="43" xfId="0" applyNumberFormat="1" applyBorder="1" applyAlignment="1">
      <alignment horizontal="center"/>
    </xf>
    <xf numFmtId="3" fontId="0" fillId="0" borderId="60" xfId="0" applyNumberFormat="1" applyBorder="1"/>
    <xf numFmtId="175" fontId="0" fillId="0" borderId="61" xfId="0" applyNumberFormat="1" applyBorder="1"/>
    <xf numFmtId="3" fontId="0" fillId="0" borderId="62" xfId="0" applyNumberFormat="1" applyBorder="1"/>
    <xf numFmtId="175" fontId="0" fillId="0" borderId="63" xfId="0" applyNumberFormat="1" applyBorder="1"/>
    <xf numFmtId="3" fontId="0" fillId="0" borderId="64" xfId="0" applyNumberFormat="1" applyBorder="1"/>
    <xf numFmtId="3" fontId="0" fillId="0" borderId="65" xfId="0" applyNumberFormat="1" applyBorder="1"/>
    <xf numFmtId="3" fontId="0" fillId="0" borderId="66" xfId="0" applyNumberFormat="1" applyBorder="1"/>
    <xf numFmtId="175" fontId="0" fillId="0" borderId="67" xfId="0" applyNumberFormat="1" applyBorder="1"/>
    <xf numFmtId="3" fontId="0" fillId="0" borderId="63" xfId="0" applyNumberFormat="1" applyBorder="1"/>
    <xf numFmtId="3" fontId="0" fillId="0" borderId="61" xfId="0" applyNumberFormat="1" applyBorder="1"/>
    <xf numFmtId="175" fontId="0" fillId="0" borderId="66" xfId="0" applyNumberFormat="1" applyBorder="1"/>
    <xf numFmtId="3" fontId="0" fillId="0" borderId="68" xfId="0" applyNumberFormat="1" applyBorder="1"/>
    <xf numFmtId="175" fontId="0" fillId="0" borderId="65" xfId="0" applyNumberFormat="1" applyBorder="1"/>
    <xf numFmtId="175" fontId="0" fillId="0" borderId="69" xfId="0" applyNumberFormat="1" applyBorder="1"/>
    <xf numFmtId="3" fontId="0" fillId="0" borderId="47" xfId="0" applyNumberFormat="1" applyBorder="1"/>
    <xf numFmtId="3" fontId="0" fillId="0" borderId="42" xfId="0" applyNumberFormat="1" applyBorder="1"/>
    <xf numFmtId="9" fontId="0" fillId="0" borderId="42" xfId="0" applyNumberFormat="1" applyBorder="1"/>
    <xf numFmtId="10" fontId="0" fillId="0" borderId="42" xfId="0" applyNumberFormat="1" applyBorder="1"/>
    <xf numFmtId="0" fontId="2" fillId="0" borderId="0" xfId="0" applyFont="1" applyBorder="1" applyAlignment="1">
      <alignment horizontal="center" wrapText="1"/>
    </xf>
    <xf numFmtId="164" fontId="2" fillId="0" borderId="0" xfId="1" applyNumberFormat="1" applyFont="1" applyBorder="1" applyAlignment="1">
      <alignment horizontal="center" wrapText="1"/>
    </xf>
    <xf numFmtId="0" fontId="2" fillId="0" borderId="12" xfId="0" applyFont="1" applyBorder="1" applyAlignment="1">
      <alignment horizontal="center" wrapText="1"/>
    </xf>
    <xf numFmtId="0" fontId="0" fillId="0" borderId="9" xfId="0" applyBorder="1" applyAlignment="1">
      <alignment horizontal="center" wrapText="1"/>
    </xf>
    <xf numFmtId="0" fontId="0" fillId="0" borderId="10" xfId="0" applyBorder="1" applyAlignment="1">
      <alignment horizontal="center" wrapText="1"/>
    </xf>
    <xf numFmtId="0" fontId="0" fillId="0" borderId="15" xfId="0" applyBorder="1" applyAlignment="1">
      <alignment horizontal="center" wrapText="1"/>
    </xf>
    <xf numFmtId="164" fontId="2" fillId="0" borderId="20" xfId="1" applyNumberFormat="1" applyFont="1" applyBorder="1" applyAlignment="1">
      <alignment horizontal="center" wrapText="1"/>
    </xf>
    <xf numFmtId="164" fontId="2" fillId="0" borderId="22" xfId="1" applyNumberFormat="1" applyFont="1" applyBorder="1" applyAlignment="1">
      <alignment horizontal="center" wrapText="1"/>
    </xf>
    <xf numFmtId="0" fontId="2" fillId="0" borderId="20" xfId="0" applyFont="1" applyBorder="1" applyAlignment="1">
      <alignment horizontal="center" wrapText="1"/>
    </xf>
    <xf numFmtId="0" fontId="3" fillId="0" borderId="0" xfId="0" applyFont="1" applyAlignment="1">
      <alignment horizontal="center"/>
    </xf>
    <xf numFmtId="0" fontId="21" fillId="0" borderId="19" xfId="0" applyFont="1" applyBorder="1" applyAlignment="1">
      <alignment vertical="top"/>
    </xf>
    <xf numFmtId="0" fontId="0" fillId="0" borderId="19" xfId="0" applyBorder="1" applyAlignment="1">
      <alignment vertical="top"/>
    </xf>
    <xf numFmtId="3" fontId="22" fillId="0" borderId="19" xfId="0" applyNumberFormat="1" applyFont="1" applyBorder="1" applyAlignment="1">
      <alignment vertical="top"/>
    </xf>
    <xf numFmtId="3" fontId="22" fillId="4" borderId="19" xfId="0" applyNumberFormat="1" applyFont="1" applyFill="1" applyBorder="1" applyAlignment="1">
      <alignment vertical="top"/>
    </xf>
    <xf numFmtId="4" fontId="22" fillId="0" borderId="19" xfId="0" applyNumberFormat="1" applyFont="1" applyBorder="1" applyAlignment="1">
      <alignment vertical="top"/>
    </xf>
    <xf numFmtId="0" fontId="22" fillId="0" borderId="19" xfId="0" applyFont="1" applyBorder="1" applyAlignment="1">
      <alignment vertical="top"/>
    </xf>
    <xf numFmtId="174" fontId="0" fillId="0" borderId="0" xfId="0" applyNumberFormat="1" applyBorder="1" applyAlignment="1">
      <alignment horizontal="right" wrapText="1"/>
    </xf>
    <xf numFmtId="164" fontId="0" fillId="0" borderId="0" xfId="1" applyNumberFormat="1" applyFont="1" applyBorder="1" applyAlignment="1">
      <alignment horizontal="right" wrapText="1"/>
    </xf>
    <xf numFmtId="0" fontId="0" fillId="0" borderId="0" xfId="0" applyBorder="1" applyAlignment="1">
      <alignment horizontal="right" wrapText="1"/>
    </xf>
    <xf numFmtId="174" fontId="0" fillId="0" borderId="0" xfId="0" applyNumberFormat="1" applyBorder="1"/>
    <xf numFmtId="17" fontId="44" fillId="0" borderId="0" xfId="0" applyNumberFormat="1" applyFont="1" applyFill="1" applyBorder="1" applyAlignment="1">
      <alignment horizontal="right"/>
    </xf>
    <xf numFmtId="164" fontId="0" fillId="0" borderId="0" xfId="1" applyNumberFormat="1" applyFont="1" applyFill="1" applyBorder="1"/>
    <xf numFmtId="164" fontId="0" fillId="0" borderId="7" xfId="1" applyNumberFormat="1" applyFont="1" applyFill="1" applyBorder="1"/>
    <xf numFmtId="164" fontId="0" fillId="0" borderId="7" xfId="0" applyNumberFormat="1" applyFont="1" applyBorder="1"/>
    <xf numFmtId="0" fontId="0" fillId="0" borderId="0" xfId="0" applyFont="1" applyBorder="1"/>
    <xf numFmtId="164" fontId="0" fillId="0" borderId="0" xfId="0" applyNumberFormat="1" applyFont="1" applyBorder="1"/>
    <xf numFmtId="164" fontId="2" fillId="0" borderId="20" xfId="1" applyNumberFormat="1" applyFont="1" applyBorder="1" applyAlignment="1">
      <alignment horizontal="center" wrapText="1"/>
    </xf>
    <xf numFmtId="164" fontId="2" fillId="0" borderId="22" xfId="1" applyNumberFormat="1" applyFont="1" applyBorder="1" applyAlignment="1">
      <alignment horizontal="center" wrapText="1"/>
    </xf>
    <xf numFmtId="0" fontId="2" fillId="0" borderId="20" xfId="0" applyFont="1" applyBorder="1" applyAlignment="1">
      <alignment horizontal="center" wrapText="1"/>
    </xf>
    <xf numFmtId="0" fontId="2" fillId="0" borderId="22" xfId="0" applyFont="1" applyBorder="1" applyAlignment="1">
      <alignment horizontal="center" wrapText="1"/>
    </xf>
    <xf numFmtId="0" fontId="8" fillId="0" borderId="20" xfId="2" applyBorder="1" applyAlignment="1" applyProtection="1">
      <alignment horizontal="center" wrapText="1"/>
    </xf>
    <xf numFmtId="0" fontId="8" fillId="0" borderId="22" xfId="2" applyBorder="1" applyAlignment="1" applyProtection="1">
      <alignment horizontal="center" wrapText="1"/>
    </xf>
    <xf numFmtId="0" fontId="2" fillId="0" borderId="20" xfId="0" applyFont="1" applyBorder="1" applyAlignment="1">
      <alignment horizontal="center" wrapText="1"/>
    </xf>
    <xf numFmtId="174" fontId="0" fillId="0" borderId="0" xfId="1" applyNumberFormat="1" applyFont="1" applyBorder="1"/>
    <xf numFmtId="0" fontId="2" fillId="0" borderId="0" xfId="0" applyFont="1" applyFill="1" applyBorder="1"/>
    <xf numFmtId="2" fontId="0" fillId="0" borderId="0" xfId="0" applyNumberFormat="1"/>
    <xf numFmtId="0" fontId="23" fillId="0" borderId="70" xfId="13" applyFont="1" applyBorder="1" applyAlignment="1" applyProtection="1">
      <alignment vertical="top" wrapText="1" readingOrder="1"/>
      <protection locked="0"/>
    </xf>
    <xf numFmtId="0" fontId="23" fillId="0" borderId="71" xfId="13" applyFont="1" applyBorder="1" applyAlignment="1" applyProtection="1">
      <alignment vertical="top" wrapText="1" readingOrder="1"/>
      <protection locked="0"/>
    </xf>
    <xf numFmtId="0" fontId="23" fillId="0" borderId="72" xfId="13" applyFont="1" applyBorder="1" applyAlignment="1" applyProtection="1">
      <alignment vertical="top" wrapText="1" readingOrder="1"/>
      <protection locked="0"/>
    </xf>
    <xf numFmtId="0" fontId="23" fillId="0" borderId="73" xfId="13" applyFont="1" applyBorder="1" applyAlignment="1" applyProtection="1">
      <alignment vertical="top" wrapText="1" readingOrder="1"/>
      <protection locked="0"/>
    </xf>
    <xf numFmtId="0" fontId="23" fillId="0" borderId="74" xfId="13" applyFont="1" applyBorder="1" applyAlignment="1" applyProtection="1">
      <alignment vertical="top" wrapText="1" readingOrder="1"/>
      <protection locked="0"/>
    </xf>
    <xf numFmtId="0" fontId="23" fillId="0" borderId="77" xfId="13" applyFont="1" applyBorder="1" applyAlignment="1" applyProtection="1">
      <alignment vertical="top" wrapText="1" readingOrder="1"/>
      <protection locked="0"/>
    </xf>
    <xf numFmtId="0" fontId="45" fillId="0" borderId="74" xfId="13" applyFont="1" applyBorder="1" applyAlignment="1" applyProtection="1">
      <alignment vertical="top" wrapText="1" readingOrder="1"/>
      <protection locked="0"/>
    </xf>
    <xf numFmtId="0" fontId="45" fillId="0" borderId="81" xfId="13" applyFont="1" applyBorder="1" applyAlignment="1" applyProtection="1">
      <alignment vertical="top" wrapText="1" readingOrder="1"/>
      <protection locked="0"/>
    </xf>
    <xf numFmtId="164" fontId="45" fillId="0" borderId="82" xfId="13" applyNumberFormat="1" applyFont="1" applyBorder="1" applyAlignment="1" applyProtection="1">
      <alignment vertical="top" wrapText="1" readingOrder="1"/>
      <protection locked="0"/>
    </xf>
    <xf numFmtId="164" fontId="45" fillId="0" borderId="83" xfId="13" applyNumberFormat="1" applyFont="1" applyBorder="1" applyAlignment="1" applyProtection="1">
      <alignment vertical="top" wrapText="1" readingOrder="1"/>
      <protection locked="0"/>
    </xf>
    <xf numFmtId="0" fontId="23" fillId="0" borderId="84" xfId="13" applyFont="1" applyBorder="1" applyAlignment="1" applyProtection="1">
      <alignment vertical="top" wrapText="1" readingOrder="1"/>
      <protection locked="0"/>
    </xf>
    <xf numFmtId="0" fontId="23" fillId="0" borderId="75" xfId="13" applyFont="1" applyBorder="1" applyAlignment="1" applyProtection="1">
      <alignment vertical="top" wrapText="1" readingOrder="1"/>
      <protection locked="0"/>
    </xf>
    <xf numFmtId="0" fontId="23" fillId="0" borderId="76" xfId="13" applyFont="1" applyBorder="1" applyAlignment="1" applyProtection="1">
      <alignment vertical="top" wrapText="1" readingOrder="1"/>
      <protection locked="0"/>
    </xf>
    <xf numFmtId="164" fontId="23" fillId="0" borderId="23" xfId="14" applyNumberFormat="1" applyFont="1" applyBorder="1" applyAlignment="1" applyProtection="1">
      <alignment vertical="top" wrapText="1" readingOrder="1"/>
      <protection locked="0"/>
    </xf>
    <xf numFmtId="164" fontId="23" fillId="0" borderId="78" xfId="14" applyNumberFormat="1" applyFont="1" applyBorder="1" applyAlignment="1" applyProtection="1">
      <alignment vertical="top" wrapText="1" readingOrder="1"/>
      <protection locked="0"/>
    </xf>
    <xf numFmtId="164" fontId="23" fillId="0" borderId="19" xfId="14" applyNumberFormat="1" applyFont="1" applyBorder="1" applyAlignment="1" applyProtection="1">
      <alignment vertical="top" wrapText="1" readingOrder="1"/>
      <protection locked="0"/>
    </xf>
    <xf numFmtId="164" fontId="23" fillId="0" borderId="79" xfId="14" applyNumberFormat="1" applyFont="1" applyBorder="1" applyAlignment="1" applyProtection="1">
      <alignment vertical="top" wrapText="1" readingOrder="1"/>
      <protection locked="0"/>
    </xf>
    <xf numFmtId="164" fontId="23" fillId="0" borderId="9" xfId="14" applyNumberFormat="1" applyFont="1" applyBorder="1" applyAlignment="1" applyProtection="1">
      <alignment vertical="top" wrapText="1" readingOrder="1"/>
      <protection locked="0"/>
    </xf>
    <xf numFmtId="164" fontId="23" fillId="0" borderId="80" xfId="14" applyNumberFormat="1" applyFont="1" applyBorder="1" applyAlignment="1" applyProtection="1">
      <alignment vertical="top" wrapText="1" readingOrder="1"/>
      <protection locked="0"/>
    </xf>
    <xf numFmtId="164" fontId="45" fillId="0" borderId="75" xfId="14" applyNumberFormat="1" applyFont="1" applyBorder="1" applyAlignment="1" applyProtection="1">
      <alignment vertical="top" wrapText="1" readingOrder="1"/>
      <protection locked="0"/>
    </xf>
    <xf numFmtId="164" fontId="45" fillId="0" borderId="76" xfId="14" applyNumberFormat="1" applyFont="1" applyBorder="1" applyAlignment="1" applyProtection="1">
      <alignment vertical="top" wrapText="1" readingOrder="1"/>
      <protection locked="0"/>
    </xf>
    <xf numFmtId="164" fontId="23" fillId="0" borderId="85" xfId="14" applyNumberFormat="1" applyFont="1" applyBorder="1" applyAlignment="1" applyProtection="1">
      <alignment vertical="top" wrapText="1" readingOrder="1"/>
      <protection locked="0"/>
    </xf>
    <xf numFmtId="164" fontId="23" fillId="0" borderId="86" xfId="14" applyNumberFormat="1" applyFont="1" applyBorder="1" applyAlignment="1" applyProtection="1">
      <alignment vertical="top" wrapText="1" readingOrder="1"/>
      <protection locked="0"/>
    </xf>
    <xf numFmtId="164" fontId="23" fillId="0" borderId="87" xfId="14" applyNumberFormat="1" applyFont="1" applyBorder="1" applyAlignment="1" applyProtection="1">
      <alignment vertical="top" wrapText="1" readingOrder="1"/>
      <protection locked="0"/>
    </xf>
    <xf numFmtId="164" fontId="23" fillId="0" borderId="88" xfId="14" applyNumberFormat="1" applyFont="1" applyBorder="1" applyAlignment="1" applyProtection="1">
      <alignment vertical="top" wrapText="1" readingOrder="1"/>
      <protection locked="0"/>
    </xf>
    <xf numFmtId="164" fontId="45" fillId="0" borderId="82" xfId="14" applyNumberFormat="1" applyFont="1" applyBorder="1" applyAlignment="1" applyProtection="1">
      <alignment vertical="top" wrapText="1" readingOrder="1"/>
      <protection locked="0"/>
    </xf>
    <xf numFmtId="164" fontId="45" fillId="0" borderId="83" xfId="14" applyNumberFormat="1" applyFont="1" applyBorder="1" applyAlignment="1" applyProtection="1">
      <alignment vertical="top" wrapText="1" readingOrder="1"/>
      <protection locked="0"/>
    </xf>
    <xf numFmtId="0" fontId="23" fillId="0" borderId="19" xfId="15" applyFont="1" applyBorder="1" applyAlignment="1" applyProtection="1">
      <alignment vertical="top" wrapText="1" readingOrder="1"/>
      <protection locked="0"/>
    </xf>
    <xf numFmtId="0" fontId="23" fillId="0" borderId="70" xfId="15" applyFont="1" applyBorder="1" applyAlignment="1" applyProtection="1">
      <alignment vertical="top" wrapText="1" readingOrder="1"/>
      <protection locked="0"/>
    </xf>
    <xf numFmtId="0" fontId="23" fillId="0" borderId="79" xfId="15" applyFont="1" applyBorder="1" applyAlignment="1" applyProtection="1">
      <alignment vertical="top" wrapText="1" readingOrder="1"/>
      <protection locked="0"/>
    </xf>
    <xf numFmtId="164" fontId="0" fillId="0" borderId="72" xfId="1" applyNumberFormat="1" applyFont="1" applyBorder="1"/>
    <xf numFmtId="164" fontId="0" fillId="0" borderId="87" xfId="1" applyNumberFormat="1" applyFont="1" applyBorder="1"/>
    <xf numFmtId="164" fontId="0" fillId="0" borderId="88" xfId="1" applyNumberFormat="1" applyFont="1" applyBorder="1"/>
    <xf numFmtId="0" fontId="0" fillId="0" borderId="0" xfId="0" applyNumberFormat="1" applyAlignment="1">
      <alignment horizontal="left"/>
    </xf>
    <xf numFmtId="0" fontId="0" fillId="0" borderId="0" xfId="0"/>
    <xf numFmtId="0" fontId="0" fillId="0" borderId="0" xfId="0" applyAlignment="1">
      <alignment horizontal="center"/>
    </xf>
    <xf numFmtId="0" fontId="0" fillId="0" borderId="0" xfId="0" applyAlignment="1">
      <alignment horizontal="left"/>
    </xf>
    <xf numFmtId="0" fontId="2" fillId="0" borderId="0" xfId="0" applyFont="1"/>
    <xf numFmtId="0" fontId="0" fillId="0" borderId="0" xfId="0" applyFont="1"/>
    <xf numFmtId="43" fontId="0" fillId="0" borderId="0" xfId="1" applyFont="1"/>
    <xf numFmtId="0" fontId="0" fillId="0" borderId="0" xfId="0" applyAlignment="1">
      <alignment horizontal="right"/>
    </xf>
    <xf numFmtId="3" fontId="0" fillId="0" borderId="0" xfId="0" applyNumberFormat="1" applyAlignment="1">
      <alignment horizontal="center"/>
    </xf>
    <xf numFmtId="9" fontId="0" fillId="0" borderId="0" xfId="0" applyNumberFormat="1" applyAlignment="1">
      <alignment horizontal="center" wrapText="1"/>
    </xf>
    <xf numFmtId="164" fontId="2" fillId="0" borderId="0" xfId="1" applyNumberFormat="1" applyFont="1"/>
    <xf numFmtId="0" fontId="0" fillId="0" borderId="0" xfId="0" applyBorder="1"/>
    <xf numFmtId="164" fontId="0" fillId="0" borderId="7" xfId="1" applyNumberFormat="1" applyFont="1" applyBorder="1"/>
    <xf numFmtId="164" fontId="0" fillId="0" borderId="52" xfId="1" applyNumberFormat="1" applyFont="1" applyBorder="1"/>
    <xf numFmtId="164" fontId="2" fillId="0" borderId="52" xfId="1" applyNumberFormat="1" applyFont="1" applyBorder="1"/>
    <xf numFmtId="43" fontId="0" fillId="0" borderId="0" xfId="0" applyNumberFormat="1" applyAlignment="1">
      <alignment horizontal="right"/>
    </xf>
    <xf numFmtId="164" fontId="49" fillId="0" borderId="0" xfId="1" applyNumberFormat="1" applyFont="1" applyAlignment="1">
      <alignment horizontal="right"/>
    </xf>
    <xf numFmtId="164" fontId="49" fillId="0" borderId="7" xfId="1" applyNumberFormat="1" applyFont="1" applyBorder="1" applyAlignment="1">
      <alignment horizontal="right"/>
    </xf>
    <xf numFmtId="164" fontId="49" fillId="0" borderId="0" xfId="0" applyNumberFormat="1" applyFont="1" applyAlignment="1">
      <alignment horizontal="right"/>
    </xf>
    <xf numFmtId="0" fontId="49" fillId="0" borderId="0" xfId="0" applyFont="1" applyAlignment="1">
      <alignment horizontal="right"/>
    </xf>
    <xf numFmtId="0" fontId="49" fillId="0" borderId="57" xfId="0" applyFont="1" applyBorder="1" applyAlignment="1">
      <alignment horizontal="right" wrapText="1"/>
    </xf>
    <xf numFmtId="0" fontId="0" fillId="0" borderId="57" xfId="0" applyBorder="1" applyAlignment="1">
      <alignment horizontal="right" wrapText="1"/>
    </xf>
    <xf numFmtId="164" fontId="0" fillId="0" borderId="7" xfId="1" applyNumberFormat="1" applyFont="1" applyFill="1" applyBorder="1"/>
    <xf numFmtId="164" fontId="2" fillId="0" borderId="0" xfId="0" applyNumberFormat="1" applyFont="1" applyBorder="1"/>
    <xf numFmtId="164" fontId="2" fillId="0" borderId="0" xfId="1" applyNumberFormat="1" applyFont="1" applyBorder="1"/>
    <xf numFmtId="164" fontId="1" fillId="0" borderId="0" xfId="1" applyNumberFormat="1" applyFont="1" applyBorder="1"/>
    <xf numFmtId="164" fontId="0" fillId="0" borderId="52" xfId="1" applyNumberFormat="1" applyFont="1" applyFill="1" applyBorder="1"/>
    <xf numFmtId="164" fontId="0" fillId="0" borderId="89" xfId="1" applyNumberFormat="1" applyFont="1" applyFill="1" applyBorder="1"/>
    <xf numFmtId="0" fontId="2" fillId="0" borderId="0" xfId="0" applyFont="1" applyAlignment="1">
      <alignment horizontal="right"/>
    </xf>
    <xf numFmtId="169" fontId="50" fillId="0" borderId="0" xfId="0" applyNumberFormat="1" applyFont="1" applyAlignment="1">
      <alignment horizontal="right"/>
    </xf>
    <xf numFmtId="164" fontId="49" fillId="0" borderId="0" xfId="1" applyNumberFormat="1" applyFont="1" applyFill="1" applyAlignment="1">
      <alignment horizontal="right"/>
    </xf>
    <xf numFmtId="164" fontId="49" fillId="0" borderId="0" xfId="0" applyNumberFormat="1" applyFont="1" applyFill="1" applyAlignment="1">
      <alignment horizontal="right"/>
    </xf>
    <xf numFmtId="164" fontId="0" fillId="0" borderId="0" xfId="0" applyNumberFormat="1" applyFont="1" applyFill="1" applyBorder="1"/>
    <xf numFmtId="164" fontId="1" fillId="0" borderId="0" xfId="1" applyNumberFormat="1" applyFont="1" applyFill="1" applyBorder="1"/>
    <xf numFmtId="43" fontId="0" fillId="0" borderId="0" xfId="1" applyFont="1" applyAlignment="1">
      <alignment horizontal="right"/>
    </xf>
    <xf numFmtId="164" fontId="49" fillId="0" borderId="7" xfId="1" applyNumberFormat="1" applyFont="1" applyFill="1" applyBorder="1" applyAlignment="1">
      <alignment horizontal="right"/>
    </xf>
    <xf numFmtId="0" fontId="47" fillId="0" borderId="0" xfId="0" applyFont="1" applyAlignment="1">
      <alignment horizontal="left"/>
    </xf>
    <xf numFmtId="0" fontId="0" fillId="0" borderId="57" xfId="0" applyBorder="1" applyAlignment="1">
      <alignment horizontal="left" wrapText="1"/>
    </xf>
    <xf numFmtId="3" fontId="0" fillId="0" borderId="0" xfId="0" applyNumberFormat="1" applyAlignment="1">
      <alignment horizontal="left"/>
    </xf>
    <xf numFmtId="3" fontId="0" fillId="0" borderId="0" xfId="0" applyNumberFormat="1" applyFont="1" applyAlignment="1">
      <alignment horizontal="left"/>
    </xf>
    <xf numFmtId="3" fontId="2" fillId="0" borderId="0" xfId="0" applyNumberFormat="1" applyFont="1" applyAlignment="1">
      <alignment horizontal="left"/>
    </xf>
    <xf numFmtId="10" fontId="0" fillId="0" borderId="0" xfId="0" applyNumberFormat="1" applyAlignment="1">
      <alignment horizontal="left"/>
    </xf>
    <xf numFmtId="3" fontId="0" fillId="0" borderId="0" xfId="0" applyNumberFormat="1" applyAlignment="1">
      <alignment horizontal="left" wrapText="1"/>
    </xf>
    <xf numFmtId="164" fontId="49" fillId="0" borderId="53" xfId="0" applyNumberFormat="1" applyFont="1" applyBorder="1" applyAlignment="1">
      <alignment horizontal="right"/>
    </xf>
    <xf numFmtId="0" fontId="2" fillId="0" borderId="53" xfId="0" applyFont="1" applyBorder="1" applyAlignment="1">
      <alignment horizontal="right"/>
    </xf>
    <xf numFmtId="164" fontId="0" fillId="0" borderId="0" xfId="1" applyNumberFormat="1" applyFont="1" applyBorder="1"/>
    <xf numFmtId="164" fontId="0" fillId="0" borderId="0" xfId="1" applyNumberFormat="1" applyFont="1" applyFill="1" applyBorder="1"/>
    <xf numFmtId="0" fontId="49" fillId="0" borderId="58" xfId="0" applyFont="1" applyBorder="1" applyAlignment="1">
      <alignment horizontal="right" wrapText="1"/>
    </xf>
    <xf numFmtId="164" fontId="49" fillId="0" borderId="53" xfId="1" applyNumberFormat="1" applyFont="1" applyBorder="1" applyAlignment="1">
      <alignment horizontal="right"/>
    </xf>
    <xf numFmtId="164" fontId="49" fillId="0" borderId="90" xfId="1" applyNumberFormat="1" applyFont="1" applyBorder="1" applyAlignment="1">
      <alignment horizontal="right"/>
    </xf>
    <xf numFmtId="164" fontId="49" fillId="0" borderId="53" xfId="1" applyNumberFormat="1" applyFont="1" applyFill="1" applyBorder="1" applyAlignment="1">
      <alignment horizontal="right"/>
    </xf>
    <xf numFmtId="164" fontId="49" fillId="0" borderId="53" xfId="0" applyNumberFormat="1" applyFont="1" applyFill="1" applyBorder="1" applyAlignment="1">
      <alignment horizontal="right"/>
    </xf>
    <xf numFmtId="164" fontId="49" fillId="0" borderId="0" xfId="0" applyNumberFormat="1" applyFont="1" applyBorder="1" applyAlignment="1">
      <alignment horizontal="right"/>
    </xf>
    <xf numFmtId="0" fontId="2" fillId="0" borderId="0" xfId="0" applyFont="1" applyBorder="1" applyAlignment="1">
      <alignment horizontal="right"/>
    </xf>
    <xf numFmtId="0" fontId="0" fillId="0" borderId="0" xfId="0" applyFont="1" applyBorder="1"/>
    <xf numFmtId="0" fontId="2" fillId="0" borderId="0" xfId="0" applyFont="1" applyBorder="1"/>
    <xf numFmtId="164" fontId="49" fillId="0" borderId="52" xfId="0" applyNumberFormat="1" applyFont="1" applyBorder="1" applyAlignment="1">
      <alignment horizontal="right"/>
    </xf>
    <xf numFmtId="0" fontId="2" fillId="0" borderId="52" xfId="0" applyFont="1" applyBorder="1" applyAlignment="1">
      <alignment horizontal="right"/>
    </xf>
    <xf numFmtId="0" fontId="44" fillId="0" borderId="56" xfId="0" applyFont="1" applyBorder="1" applyAlignment="1">
      <alignment horizontal="right" wrapText="1"/>
    </xf>
    <xf numFmtId="164" fontId="44" fillId="0" borderId="52" xfId="1" applyNumberFormat="1" applyFont="1" applyBorder="1" applyAlignment="1">
      <alignment horizontal="right"/>
    </xf>
    <xf numFmtId="164" fontId="44" fillId="0" borderId="89" xfId="1" applyNumberFormat="1" applyFont="1" applyBorder="1" applyAlignment="1">
      <alignment horizontal="right"/>
    </xf>
    <xf numFmtId="164" fontId="44" fillId="0" borderId="52" xfId="1" applyNumberFormat="1" applyFont="1" applyFill="1" applyBorder="1" applyAlignment="1">
      <alignment horizontal="right"/>
    </xf>
    <xf numFmtId="164" fontId="44" fillId="0" borderId="52" xfId="0" applyNumberFormat="1" applyFont="1" applyFill="1" applyBorder="1" applyAlignment="1">
      <alignment horizontal="right"/>
    </xf>
    <xf numFmtId="164" fontId="51" fillId="0" borderId="52" xfId="0" applyNumberFormat="1" applyFont="1" applyFill="1" applyBorder="1" applyAlignment="1">
      <alignment horizontal="right"/>
    </xf>
    <xf numFmtId="164" fontId="50" fillId="0" borderId="0" xfId="1" applyNumberFormat="1" applyFont="1" applyAlignment="1">
      <alignment horizontal="right"/>
    </xf>
    <xf numFmtId="164" fontId="51" fillId="0" borderId="52" xfId="1" applyNumberFormat="1" applyFont="1" applyBorder="1" applyAlignment="1">
      <alignment horizontal="right"/>
    </xf>
    <xf numFmtId="164" fontId="50" fillId="0" borderId="0" xfId="1" applyNumberFormat="1" applyFont="1" applyFill="1" applyAlignment="1">
      <alignment horizontal="right"/>
    </xf>
    <xf numFmtId="164" fontId="2" fillId="0" borderId="52" xfId="1" applyNumberFormat="1" applyFont="1" applyFill="1" applyBorder="1"/>
    <xf numFmtId="164" fontId="50" fillId="0" borderId="53" xfId="1" applyNumberFormat="1" applyFont="1" applyBorder="1" applyAlignment="1">
      <alignment horizontal="right"/>
    </xf>
    <xf numFmtId="164" fontId="50" fillId="0" borderId="0" xfId="0" applyNumberFormat="1" applyFont="1" applyFill="1" applyAlignment="1">
      <alignment horizontal="right"/>
    </xf>
    <xf numFmtId="164" fontId="50" fillId="0" borderId="0" xfId="0" applyNumberFormat="1" applyFont="1" applyAlignment="1">
      <alignment horizontal="right"/>
    </xf>
    <xf numFmtId="164" fontId="50" fillId="0" borderId="53" xfId="0" applyNumberFormat="1" applyFont="1" applyFill="1" applyBorder="1" applyAlignment="1">
      <alignment horizontal="right"/>
    </xf>
    <xf numFmtId="3" fontId="2" fillId="0" borderId="0" xfId="0" applyNumberFormat="1" applyFont="1" applyAlignment="1">
      <alignment horizontal="right"/>
    </xf>
    <xf numFmtId="164" fontId="49" fillId="0" borderId="7" xfId="0" applyNumberFormat="1" applyFont="1" applyFill="1" applyBorder="1" applyAlignment="1">
      <alignment horizontal="right"/>
    </xf>
    <xf numFmtId="164" fontId="44" fillId="0" borderId="89" xfId="0" applyNumberFormat="1" applyFont="1" applyFill="1" applyBorder="1" applyAlignment="1">
      <alignment horizontal="right"/>
    </xf>
    <xf numFmtId="164" fontId="49" fillId="0" borderId="7" xfId="0" applyNumberFormat="1" applyFont="1" applyBorder="1" applyAlignment="1">
      <alignment horizontal="right"/>
    </xf>
    <xf numFmtId="164" fontId="49" fillId="0" borderId="90" xfId="0" applyNumberFormat="1" applyFont="1" applyFill="1" applyBorder="1" applyAlignment="1">
      <alignment horizontal="right"/>
    </xf>
    <xf numFmtId="0" fontId="2" fillId="0" borderId="0" xfId="0" applyFont="1" applyAlignment="1">
      <alignment horizontal="center"/>
    </xf>
    <xf numFmtId="0" fontId="2" fillId="0" borderId="52" xfId="0" applyFont="1" applyBorder="1" applyAlignment="1">
      <alignment horizontal="center"/>
    </xf>
    <xf numFmtId="0" fontId="2" fillId="0" borderId="0" xfId="0" applyFont="1" applyBorder="1" applyAlignment="1">
      <alignment horizontal="center"/>
    </xf>
    <xf numFmtId="169" fontId="50" fillId="0" borderId="0" xfId="0" applyNumberFormat="1" applyFont="1" applyAlignment="1">
      <alignment horizontal="center"/>
    </xf>
    <xf numFmtId="164" fontId="2" fillId="0" borderId="0" xfId="1" applyNumberFormat="1" applyFont="1" applyAlignment="1">
      <alignment horizontal="center"/>
    </xf>
    <xf numFmtId="0" fontId="2" fillId="0" borderId="53" xfId="0" applyFont="1" applyBorder="1" applyAlignment="1">
      <alignment horizontal="center"/>
    </xf>
    <xf numFmtId="2" fontId="50" fillId="0" borderId="0" xfId="0" applyNumberFormat="1" applyFont="1" applyBorder="1" applyAlignment="1">
      <alignment horizontal="center"/>
    </xf>
    <xf numFmtId="0" fontId="0" fillId="0" borderId="0" xfId="0" applyBorder="1" applyAlignment="1">
      <alignment horizontal="left"/>
    </xf>
    <xf numFmtId="0" fontId="44" fillId="0" borderId="0" xfId="0" applyFont="1" applyBorder="1" applyAlignment="1">
      <alignment horizontal="right"/>
    </xf>
    <xf numFmtId="0" fontId="0" fillId="0" borderId="0" xfId="0" applyBorder="1" applyAlignment="1">
      <alignment horizontal="right"/>
    </xf>
    <xf numFmtId="0" fontId="0" fillId="0" borderId="57" xfId="0" applyBorder="1" applyAlignment="1">
      <alignment horizontal="center" wrapText="1"/>
    </xf>
    <xf numFmtId="164" fontId="2" fillId="0" borderId="0" xfId="1" applyNumberFormat="1" applyFont="1" applyFill="1" applyBorder="1"/>
    <xf numFmtId="0" fontId="44" fillId="0" borderId="0" xfId="0" applyFont="1" applyBorder="1"/>
    <xf numFmtId="164" fontId="44" fillId="0" borderId="52" xfId="0" applyNumberFormat="1" applyFont="1" applyBorder="1" applyAlignment="1">
      <alignment horizontal="right"/>
    </xf>
    <xf numFmtId="164" fontId="44" fillId="0" borderId="0" xfId="0" applyNumberFormat="1" applyFont="1" applyBorder="1" applyAlignment="1">
      <alignment horizontal="right"/>
    </xf>
    <xf numFmtId="0" fontId="51" fillId="0" borderId="0" xfId="0" applyFont="1" applyBorder="1" applyAlignment="1">
      <alignment horizontal="center"/>
    </xf>
    <xf numFmtId="0" fontId="51" fillId="0" borderId="0" xfId="0" applyFont="1" applyBorder="1" applyAlignment="1">
      <alignment horizontal="right"/>
    </xf>
    <xf numFmtId="0" fontId="2" fillId="4" borderId="0" xfId="0" applyFont="1" applyFill="1"/>
    <xf numFmtId="164" fontId="2" fillId="4" borderId="0" xfId="1" applyNumberFormat="1" applyFont="1" applyFill="1"/>
    <xf numFmtId="0" fontId="2" fillId="0" borderId="9" xfId="0" applyFont="1" applyBorder="1" applyAlignment="1">
      <alignment horizontal="center" wrapText="1"/>
    </xf>
    <xf numFmtId="0" fontId="2" fillId="0" borderId="10" xfId="0" applyFont="1" applyBorder="1" applyAlignment="1">
      <alignment horizontal="center" wrapText="1"/>
    </xf>
    <xf numFmtId="0" fontId="2" fillId="0" borderId="8" xfId="0" applyFont="1" applyBorder="1" applyAlignment="1">
      <alignment horizontal="center" wrapText="1"/>
    </xf>
    <xf numFmtId="0" fontId="0" fillId="0" borderId="8" xfId="0" applyBorder="1" applyAlignment="1">
      <alignment horizontal="center" wrapText="1"/>
    </xf>
    <xf numFmtId="0" fontId="2" fillId="0" borderId="10" xfId="0" applyFont="1" applyBorder="1" applyAlignment="1">
      <alignment horizontal="center" wrapText="1"/>
    </xf>
    <xf numFmtId="0" fontId="2" fillId="0" borderId="15" xfId="0" applyFont="1" applyBorder="1" applyAlignment="1">
      <alignment horizontal="center" wrapText="1"/>
    </xf>
    <xf numFmtId="0" fontId="6" fillId="0" borderId="0" xfId="18"/>
    <xf numFmtId="0" fontId="6" fillId="0" borderId="19" xfId="18" applyBorder="1"/>
    <xf numFmtId="0" fontId="7" fillId="0" borderId="19" xfId="18" applyFont="1" applyBorder="1"/>
    <xf numFmtId="0" fontId="7" fillId="0" borderId="19" xfId="18" applyFont="1" applyBorder="1" applyAlignment="1">
      <alignment horizontal="center"/>
    </xf>
    <xf numFmtId="0" fontId="7" fillId="14" borderId="19" xfId="18" applyFont="1" applyFill="1" applyBorder="1" applyAlignment="1">
      <alignment horizontal="center"/>
    </xf>
    <xf numFmtId="0" fontId="6" fillId="0" borderId="19" xfId="18" applyBorder="1" applyAlignment="1">
      <alignment horizontal="center"/>
    </xf>
    <xf numFmtId="0" fontId="6" fillId="14" borderId="19" xfId="18" applyFill="1" applyBorder="1"/>
    <xf numFmtId="0" fontId="6" fillId="14" borderId="19" xfId="18" applyFill="1" applyBorder="1" applyAlignment="1">
      <alignment horizontal="center"/>
    </xf>
    <xf numFmtId="2" fontId="6" fillId="0" borderId="19" xfId="18" applyNumberFormat="1" applyBorder="1"/>
    <xf numFmtId="2" fontId="55" fillId="0" borderId="19" xfId="18" applyNumberFormat="1" applyFont="1" applyBorder="1"/>
    <xf numFmtId="2" fontId="6" fillId="14" borderId="19" xfId="18" applyNumberFormat="1" applyFill="1" applyBorder="1"/>
    <xf numFmtId="2" fontId="6" fillId="0" borderId="19" xfId="18" applyNumberFormat="1" applyFill="1" applyBorder="1"/>
    <xf numFmtId="2" fontId="6" fillId="0" borderId="19" xfId="18" applyNumberFormat="1" applyFont="1" applyFill="1" applyBorder="1"/>
    <xf numFmtId="2" fontId="6" fillId="0" borderId="0" xfId="18" applyNumberFormat="1" applyFont="1" applyFill="1"/>
    <xf numFmtId="2" fontId="6" fillId="0" borderId="19" xfId="18" applyNumberFormat="1" applyFont="1" applyBorder="1"/>
    <xf numFmtId="2" fontId="55" fillId="0" borderId="19" xfId="18" applyNumberFormat="1" applyFont="1" applyFill="1" applyBorder="1"/>
    <xf numFmtId="2" fontId="7" fillId="0" borderId="19" xfId="18" applyNumberFormat="1" applyFont="1" applyBorder="1"/>
    <xf numFmtId="1" fontId="6" fillId="0" borderId="19" xfId="18" applyNumberFormat="1" applyBorder="1"/>
    <xf numFmtId="2" fontId="7" fillId="0" borderId="19" xfId="18" applyNumberFormat="1" applyFont="1" applyFill="1" applyBorder="1"/>
    <xf numFmtId="0" fontId="7" fillId="0" borderId="19" xfId="18" applyFont="1" applyFill="1" applyBorder="1" applyAlignment="1">
      <alignment horizontal="center"/>
    </xf>
    <xf numFmtId="0" fontId="7" fillId="0" borderId="19" xfId="18" applyNumberFormat="1" applyFont="1" applyFill="1" applyBorder="1"/>
    <xf numFmtId="1" fontId="7" fillId="0" borderId="19" xfId="18" applyNumberFormat="1" applyFont="1" applyFill="1" applyBorder="1"/>
    <xf numFmtId="0" fontId="6" fillId="0" borderId="19" xfId="18" applyNumberFormat="1" applyFill="1" applyBorder="1"/>
    <xf numFmtId="0" fontId="55" fillId="0" borderId="19" xfId="18" applyNumberFormat="1" applyFont="1" applyFill="1" applyBorder="1"/>
    <xf numFmtId="0" fontId="7" fillId="0" borderId="19" xfId="0" applyFont="1" applyFill="1" applyBorder="1"/>
    <xf numFmtId="0" fontId="7" fillId="0" borderId="19" xfId="0" applyFont="1" applyFill="1" applyBorder="1" applyAlignment="1">
      <alignment horizontal="center"/>
    </xf>
    <xf numFmtId="0" fontId="0" fillId="0" borderId="19" xfId="0" applyFill="1" applyBorder="1"/>
    <xf numFmtId="0" fontId="0" fillId="0" borderId="19" xfId="0" applyFill="1" applyBorder="1" applyAlignment="1">
      <alignment horizontal="center"/>
    </xf>
    <xf numFmtId="0" fontId="0" fillId="0" borderId="0" xfId="0" applyFill="1" applyAlignment="1">
      <alignment horizontal="center"/>
    </xf>
    <xf numFmtId="2" fontId="0" fillId="0" borderId="19" xfId="0" applyNumberFormat="1" applyFill="1" applyBorder="1"/>
    <xf numFmtId="2" fontId="6" fillId="0" borderId="19" xfId="0" applyNumberFormat="1" applyFont="1" applyFill="1" applyBorder="1"/>
    <xf numFmtId="2" fontId="0" fillId="0" borderId="19" xfId="0" applyNumberFormat="1" applyBorder="1"/>
    <xf numFmtId="2" fontId="0" fillId="14" borderId="19" xfId="0" applyNumberFormat="1" applyFill="1" applyBorder="1"/>
    <xf numFmtId="2" fontId="6" fillId="0" borderId="0" xfId="0" applyNumberFormat="1" applyFont="1" applyFill="1"/>
    <xf numFmtId="0" fontId="7" fillId="0" borderId="19" xfId="0" applyFont="1" applyBorder="1"/>
    <xf numFmtId="2" fontId="55" fillId="0" borderId="19" xfId="0" applyNumberFormat="1" applyFont="1" applyFill="1" applyBorder="1"/>
    <xf numFmtId="2" fontId="55" fillId="0" borderId="19" xfId="0" applyNumberFormat="1" applyFont="1" applyBorder="1"/>
    <xf numFmtId="1" fontId="0" fillId="0" borderId="19" xfId="0" applyNumberFormat="1" applyBorder="1"/>
    <xf numFmtId="2" fontId="6" fillId="0" borderId="19" xfId="0" applyNumberFormat="1" applyFont="1" applyBorder="1"/>
    <xf numFmtId="2" fontId="55" fillId="15" borderId="19" xfId="0" applyNumberFormat="1" applyFont="1" applyFill="1" applyBorder="1"/>
    <xf numFmtId="2" fontId="7" fillId="0" borderId="19" xfId="0" applyNumberFormat="1" applyFont="1" applyFill="1" applyBorder="1"/>
    <xf numFmtId="0" fontId="0" fillId="16" borderId="0" xfId="0" applyFill="1"/>
    <xf numFmtId="0" fontId="0" fillId="14" borderId="0" xfId="0" applyFill="1"/>
    <xf numFmtId="0" fontId="7" fillId="0" borderId="19" xfId="0" applyFont="1" applyBorder="1" applyAlignment="1">
      <alignment horizontal="center"/>
    </xf>
    <xf numFmtId="0" fontId="7" fillId="14" borderId="19" xfId="0" applyFont="1" applyFill="1" applyBorder="1" applyAlignment="1">
      <alignment horizontal="center"/>
    </xf>
    <xf numFmtId="0" fontId="0" fillId="14" borderId="19" xfId="0" applyFill="1" applyBorder="1"/>
    <xf numFmtId="0" fontId="0" fillId="0" borderId="19" xfId="0" applyBorder="1" applyAlignment="1">
      <alignment horizontal="center"/>
    </xf>
    <xf numFmtId="0" fontId="0" fillId="14" borderId="19" xfId="0" applyFill="1" applyBorder="1" applyAlignment="1">
      <alignment horizontal="center"/>
    </xf>
    <xf numFmtId="2" fontId="7" fillId="0" borderId="19" xfId="0" applyNumberFormat="1" applyFont="1" applyBorder="1"/>
    <xf numFmtId="0" fontId="6" fillId="0" borderId="19" xfId="0" applyFont="1" applyFill="1" applyBorder="1"/>
    <xf numFmtId="0" fontId="55" fillId="0" borderId="19" xfId="0" applyFont="1" applyBorder="1"/>
    <xf numFmtId="0" fontId="6" fillId="0" borderId="19" xfId="0" applyFont="1" applyBorder="1"/>
    <xf numFmtId="0" fontId="55" fillId="0" borderId="19" xfId="0" applyFont="1" applyFill="1" applyBorder="1"/>
    <xf numFmtId="0" fontId="58" fillId="0" borderId="19" xfId="0" applyFont="1" applyBorder="1"/>
    <xf numFmtId="0" fontId="58" fillId="0" borderId="19" xfId="0" applyFont="1" applyFill="1" applyBorder="1"/>
    <xf numFmtId="0" fontId="58" fillId="9" borderId="19" xfId="0" applyFont="1" applyFill="1" applyBorder="1"/>
    <xf numFmtId="2" fontId="0" fillId="10" borderId="19" xfId="0" applyNumberFormat="1" applyFill="1" applyBorder="1"/>
    <xf numFmtId="2" fontId="0" fillId="9" borderId="19" xfId="0" applyNumberFormat="1" applyFill="1" applyBorder="1"/>
    <xf numFmtId="2" fontId="59" fillId="0" borderId="19" xfId="0" applyNumberFormat="1" applyFont="1" applyBorder="1"/>
    <xf numFmtId="2" fontId="59" fillId="0" borderId="19" xfId="0" applyNumberFormat="1" applyFont="1" applyFill="1" applyBorder="1"/>
    <xf numFmtId="2" fontId="59" fillId="9" borderId="19" xfId="0" applyNumberFormat="1" applyFont="1" applyFill="1" applyBorder="1"/>
    <xf numFmtId="2" fontId="58" fillId="0" borderId="19" xfId="0" applyNumberFormat="1" applyFont="1" applyBorder="1"/>
    <xf numFmtId="2" fontId="58" fillId="9" borderId="19" xfId="0" applyNumberFormat="1" applyFont="1" applyFill="1" applyBorder="1"/>
    <xf numFmtId="2" fontId="6" fillId="9" borderId="19" xfId="0" applyNumberFormat="1" applyFont="1" applyFill="1" applyBorder="1"/>
    <xf numFmtId="0" fontId="46" fillId="0" borderId="19" xfId="0" applyFont="1" applyBorder="1"/>
    <xf numFmtId="0" fontId="0" fillId="10" borderId="19" xfId="0" applyFill="1" applyBorder="1"/>
    <xf numFmtId="0" fontId="58" fillId="0" borderId="0" xfId="0" applyFont="1"/>
    <xf numFmtId="2" fontId="7" fillId="0" borderId="0" xfId="0" applyNumberFormat="1" applyFont="1"/>
    <xf numFmtId="2" fontId="0" fillId="0" borderId="0" xfId="0" applyNumberFormat="1" applyFill="1"/>
    <xf numFmtId="2" fontId="59" fillId="0" borderId="0" xfId="0" applyNumberFormat="1" applyFont="1"/>
    <xf numFmtId="2" fontId="7" fillId="0" borderId="0" xfId="0" applyNumberFormat="1" applyFont="1" applyFill="1"/>
    <xf numFmtId="2" fontId="58" fillId="0" borderId="0" xfId="0" applyNumberFormat="1" applyFont="1"/>
    <xf numFmtId="0" fontId="41" fillId="0" borderId="0" xfId="0" applyFont="1"/>
    <xf numFmtId="0" fontId="41" fillId="4" borderId="0" xfId="0" applyFont="1" applyFill="1"/>
    <xf numFmtId="164" fontId="41" fillId="4" borderId="0" xfId="1" applyNumberFormat="1" applyFont="1" applyFill="1"/>
    <xf numFmtId="0" fontId="8" fillId="0" borderId="15" xfId="2" applyBorder="1" applyAlignment="1" applyProtection="1">
      <alignment horizontal="center" wrapText="1"/>
    </xf>
    <xf numFmtId="168" fontId="0" fillId="0" borderId="10" xfId="0" applyNumberFormat="1" applyBorder="1" applyAlignment="1">
      <alignment horizontal="center" wrapText="1"/>
    </xf>
    <xf numFmtId="164" fontId="0" fillId="0" borderId="8" xfId="0" applyNumberFormat="1" applyBorder="1" applyAlignment="1">
      <alignment horizontal="center" wrapText="1"/>
    </xf>
    <xf numFmtId="168" fontId="0" fillId="0" borderId="13" xfId="0" applyNumberFormat="1" applyBorder="1" applyAlignment="1">
      <alignment horizontal="center" wrapText="1"/>
    </xf>
    <xf numFmtId="168" fontId="0" fillId="0" borderId="12" xfId="0" applyNumberFormat="1" applyBorder="1" applyAlignment="1">
      <alignment horizontal="center" wrapText="1"/>
    </xf>
    <xf numFmtId="0" fontId="2" fillId="0" borderId="9" xfId="0" applyFont="1" applyBorder="1"/>
    <xf numFmtId="0" fontId="2" fillId="0" borderId="13" xfId="0" applyFont="1" applyBorder="1"/>
    <xf numFmtId="0" fontId="2" fillId="0" borderId="13" xfId="0" applyFont="1" applyFill="1" applyBorder="1"/>
    <xf numFmtId="0" fontId="2" fillId="0" borderId="12" xfId="0" applyFont="1" applyFill="1" applyBorder="1"/>
    <xf numFmtId="0" fontId="0" fillId="0" borderId="20" xfId="0" applyBorder="1"/>
    <xf numFmtId="0" fontId="0" fillId="0" borderId="22" xfId="0" applyBorder="1"/>
    <xf numFmtId="164" fontId="0" fillId="0" borderId="12" xfId="0" applyNumberFormat="1" applyBorder="1"/>
    <xf numFmtId="164" fontId="0" fillId="0" borderId="20" xfId="0" applyNumberFormat="1" applyBorder="1"/>
    <xf numFmtId="164" fontId="0" fillId="0" borderId="21" xfId="0" applyNumberFormat="1" applyBorder="1"/>
    <xf numFmtId="164" fontId="0" fillId="0" borderId="22" xfId="0" applyNumberFormat="1" applyBorder="1"/>
    <xf numFmtId="0" fontId="0" fillId="0" borderId="9" xfId="0" applyFill="1" applyBorder="1" applyAlignment="1">
      <alignment horizontal="left"/>
    </xf>
    <xf numFmtId="164" fontId="2" fillId="0" borderId="7" xfId="0" applyNumberFormat="1" applyFont="1" applyBorder="1"/>
    <xf numFmtId="164" fontId="2" fillId="0" borderId="16" xfId="0" applyNumberFormat="1" applyFont="1" applyBorder="1"/>
    <xf numFmtId="0" fontId="2" fillId="0" borderId="10" xfId="0" applyFont="1" applyFill="1" applyBorder="1" applyAlignment="1">
      <alignment horizontal="center"/>
    </xf>
    <xf numFmtId="0" fontId="2" fillId="0" borderId="13" xfId="0" applyFont="1" applyFill="1" applyBorder="1" applyAlignment="1">
      <alignment horizontal="center"/>
    </xf>
    <xf numFmtId="0" fontId="2" fillId="0" borderId="12" xfId="0" applyFont="1" applyFill="1" applyBorder="1" applyAlignment="1">
      <alignment horizontal="center"/>
    </xf>
    <xf numFmtId="0" fontId="2" fillId="0" borderId="9" xfId="0" applyFont="1" applyFill="1" applyBorder="1" applyAlignment="1">
      <alignment horizontal="center"/>
    </xf>
    <xf numFmtId="164" fontId="0" fillId="0" borderId="10" xfId="0" applyNumberFormat="1" applyBorder="1"/>
    <xf numFmtId="164" fontId="0" fillId="0" borderId="13" xfId="0" applyNumberFormat="1" applyBorder="1"/>
    <xf numFmtId="164" fontId="2" fillId="0" borderId="20" xfId="0" applyNumberFormat="1" applyFont="1" applyBorder="1"/>
    <xf numFmtId="174" fontId="0" fillId="0" borderId="22" xfId="0" applyNumberFormat="1" applyBorder="1"/>
    <xf numFmtId="0" fontId="0" fillId="0" borderId="21" xfId="0" applyBorder="1" applyAlignment="1"/>
    <xf numFmtId="0" fontId="60" fillId="0" borderId="20" xfId="2" applyFont="1" applyBorder="1" applyAlignment="1" applyProtection="1"/>
    <xf numFmtId="0" fontId="8" fillId="0" borderId="21" xfId="2" applyBorder="1" applyAlignment="1" applyProtection="1"/>
    <xf numFmtId="0" fontId="8" fillId="0" borderId="22" xfId="2" applyBorder="1" applyAlignment="1" applyProtection="1"/>
    <xf numFmtId="0" fontId="52" fillId="0" borderId="20" xfId="2" applyFont="1" applyBorder="1" applyAlignment="1" applyProtection="1">
      <alignment horizontal="right"/>
    </xf>
    <xf numFmtId="0" fontId="52" fillId="0" borderId="0" xfId="2" applyFont="1" applyBorder="1" applyAlignment="1" applyProtection="1">
      <alignment horizontal="right"/>
    </xf>
    <xf numFmtId="0" fontId="8" fillId="0" borderId="0" xfId="2" applyBorder="1" applyAlignment="1" applyProtection="1"/>
    <xf numFmtId="0" fontId="52" fillId="0" borderId="20" xfId="2" applyFont="1" applyBorder="1" applyAlignment="1" applyProtection="1"/>
    <xf numFmtId="0" fontId="60" fillId="0" borderId="21" xfId="2" applyFont="1" applyBorder="1" applyAlignment="1" applyProtection="1"/>
    <xf numFmtId="0" fontId="60" fillId="0" borderId="22" xfId="2" applyFont="1" applyBorder="1" applyAlignment="1" applyProtection="1"/>
    <xf numFmtId="0" fontId="8" fillId="0" borderId="8" xfId="2" applyBorder="1" applyAlignment="1" applyProtection="1"/>
    <xf numFmtId="0" fontId="0" fillId="0" borderId="20" xfId="0" applyBorder="1" applyAlignment="1">
      <alignment horizontal="left"/>
    </xf>
    <xf numFmtId="0" fontId="60" fillId="0" borderId="0" xfId="2" applyFont="1" applyBorder="1" applyAlignment="1" applyProtection="1"/>
    <xf numFmtId="0" fontId="2" fillId="0" borderId="23" xfId="0" applyFont="1" applyBorder="1" applyAlignment="1">
      <alignment horizontal="center" wrapText="1"/>
    </xf>
    <xf numFmtId="0" fontId="0" fillId="0" borderId="10" xfId="0" applyFill="1" applyBorder="1" applyAlignment="1">
      <alignment horizontal="center" wrapText="1"/>
    </xf>
    <xf numFmtId="0" fontId="0" fillId="0" borderId="15"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Fill="1" applyBorder="1" applyAlignment="1">
      <alignment horizontal="center" wrapText="1"/>
    </xf>
    <xf numFmtId="0" fontId="0" fillId="0" borderId="16" xfId="0" applyFill="1" applyBorder="1" applyAlignment="1">
      <alignment horizontal="center" wrapText="1"/>
    </xf>
    <xf numFmtId="0" fontId="65" fillId="0" borderId="104" xfId="0" applyFont="1" applyBorder="1" applyAlignment="1">
      <alignment horizontal="left"/>
    </xf>
    <xf numFmtId="3" fontId="65" fillId="0" borderId="104" xfId="0" applyNumberFormat="1" applyFont="1" applyBorder="1" applyAlignment="1">
      <alignment horizontal="right" wrapText="1"/>
    </xf>
    <xf numFmtId="0" fontId="0" fillId="0" borderId="104" xfId="0" applyBorder="1" applyAlignment="1">
      <alignment horizontal="right" wrapText="1"/>
    </xf>
    <xf numFmtId="0" fontId="0" fillId="0" borderId="104" xfId="0" applyBorder="1" applyAlignment="1">
      <alignment wrapText="1"/>
    </xf>
    <xf numFmtId="0" fontId="66" fillId="0" borderId="104" xfId="0" applyFont="1" applyBorder="1" applyAlignment="1">
      <alignment horizontal="center" wrapText="1"/>
    </xf>
    <xf numFmtId="0" fontId="65" fillId="0" borderId="104" xfId="0" applyFont="1" applyBorder="1" applyAlignment="1">
      <alignment horizontal="right" wrapText="1"/>
    </xf>
    <xf numFmtId="0" fontId="65" fillId="17" borderId="104" xfId="0" applyFont="1" applyFill="1" applyBorder="1" applyAlignment="1">
      <alignment horizontal="left"/>
    </xf>
    <xf numFmtId="3" fontId="65" fillId="17" borderId="104" xfId="0" applyNumberFormat="1" applyFont="1" applyFill="1" applyBorder="1" applyAlignment="1">
      <alignment horizontal="right" wrapText="1"/>
    </xf>
    <xf numFmtId="0" fontId="0" fillId="17" borderId="104" xfId="0" applyFill="1" applyBorder="1" applyAlignment="1">
      <alignment horizontal="right" wrapText="1"/>
    </xf>
    <xf numFmtId="0" fontId="0" fillId="17" borderId="104" xfId="0" applyFill="1" applyBorder="1" applyAlignment="1">
      <alignment wrapText="1"/>
    </xf>
    <xf numFmtId="0" fontId="66" fillId="17" borderId="104" xfId="0" applyFont="1" applyFill="1" applyBorder="1" applyAlignment="1">
      <alignment horizontal="center" wrapText="1"/>
    </xf>
    <xf numFmtId="0" fontId="65" fillId="17" borderId="104" xfId="0" applyFont="1" applyFill="1" applyBorder="1" applyAlignment="1">
      <alignment horizontal="right" wrapText="1"/>
    </xf>
    <xf numFmtId="0" fontId="69" fillId="18" borderId="104" xfId="0" applyFont="1" applyFill="1" applyBorder="1" applyAlignment="1">
      <alignment horizontal="center" vertical="top"/>
    </xf>
    <xf numFmtId="0" fontId="69" fillId="18" borderId="104" xfId="0" applyFont="1" applyFill="1" applyBorder="1" applyAlignment="1">
      <alignment horizontal="left" vertical="top"/>
    </xf>
    <xf numFmtId="0" fontId="69" fillId="18" borderId="97" xfId="0" applyFont="1" applyFill="1" applyBorder="1" applyAlignment="1">
      <alignment horizontal="center" vertical="top"/>
    </xf>
    <xf numFmtId="0" fontId="69" fillId="18" borderId="101" xfId="0" applyFont="1" applyFill="1" applyBorder="1" applyAlignment="1">
      <alignment horizontal="center" vertical="top"/>
    </xf>
    <xf numFmtId="0" fontId="71" fillId="0" borderId="104" xfId="0" applyFont="1" applyBorder="1" applyAlignment="1">
      <alignment horizontal="center" vertical="top"/>
    </xf>
    <xf numFmtId="0" fontId="71" fillId="0" borderId="104" xfId="0" applyFont="1" applyBorder="1" applyAlignment="1">
      <alignment vertical="top"/>
    </xf>
    <xf numFmtId="0" fontId="70" fillId="0" borderId="104" xfId="2" applyFont="1" applyBorder="1" applyAlignment="1" applyProtection="1">
      <alignment horizontal="right" vertical="top"/>
    </xf>
    <xf numFmtId="0" fontId="71" fillId="0" borderId="104" xfId="0" applyFont="1" applyBorder="1" applyAlignment="1">
      <alignment horizontal="left" vertical="top"/>
    </xf>
    <xf numFmtId="0" fontId="71" fillId="0" borderId="104" xfId="0" applyFont="1" applyBorder="1" applyAlignment="1">
      <alignment horizontal="right" vertical="top"/>
    </xf>
    <xf numFmtId="0" fontId="71" fillId="4" borderId="104" xfId="0" applyFont="1" applyFill="1" applyBorder="1" applyAlignment="1">
      <alignment horizontal="center" vertical="top"/>
    </xf>
    <xf numFmtId="0" fontId="2" fillId="4" borderId="0" xfId="0" applyFont="1" applyFill="1" applyBorder="1"/>
    <xf numFmtId="0" fontId="2" fillId="0" borderId="19" xfId="0" applyFont="1" applyBorder="1"/>
    <xf numFmtId="0" fontId="8" fillId="0" borderId="19" xfId="2" applyBorder="1" applyAlignment="1" applyProtection="1"/>
    <xf numFmtId="164" fontId="0" fillId="0" borderId="19" xfId="1" applyNumberFormat="1" applyFont="1" applyBorder="1"/>
    <xf numFmtId="164" fontId="0" fillId="0" borderId="19" xfId="0" applyNumberFormat="1" applyBorder="1"/>
    <xf numFmtId="0" fontId="60" fillId="0" borderId="19" xfId="2" applyFont="1" applyBorder="1" applyAlignment="1" applyProtection="1"/>
    <xf numFmtId="164" fontId="1" fillId="0" borderId="19" xfId="1" applyNumberFormat="1" applyFont="1" applyBorder="1"/>
    <xf numFmtId="164" fontId="0" fillId="0" borderId="19" xfId="0" applyNumberFormat="1" applyFont="1" applyFill="1" applyBorder="1"/>
    <xf numFmtId="0" fontId="0" fillId="0" borderId="19" xfId="0" applyFont="1" applyFill="1" applyBorder="1"/>
    <xf numFmtId="164" fontId="1" fillId="0" borderId="19" xfId="1" applyNumberFormat="1" applyFont="1" applyFill="1" applyBorder="1"/>
    <xf numFmtId="0" fontId="8" fillId="0" borderId="19" xfId="2" applyFill="1" applyBorder="1" applyAlignment="1" applyProtection="1"/>
    <xf numFmtId="9" fontId="1" fillId="0" borderId="19" xfId="12" applyFont="1" applyFill="1" applyBorder="1"/>
    <xf numFmtId="0" fontId="17" fillId="0" borderId="19" xfId="0" applyFont="1" applyFill="1" applyBorder="1"/>
    <xf numFmtId="164" fontId="17" fillId="0" borderId="19" xfId="1" applyNumberFormat="1" applyFont="1" applyFill="1" applyBorder="1"/>
    <xf numFmtId="0" fontId="2" fillId="4" borderId="19" xfId="0" applyFont="1" applyFill="1" applyBorder="1"/>
    <xf numFmtId="164" fontId="2" fillId="4" borderId="19" xfId="1" applyNumberFormat="1" applyFont="1" applyFill="1" applyBorder="1"/>
    <xf numFmtId="164" fontId="2" fillId="4" borderId="19" xfId="0" applyNumberFormat="1" applyFont="1" applyFill="1" applyBorder="1"/>
    <xf numFmtId="0" fontId="0" fillId="0" borderId="0" xfId="0" applyFont="1" applyBorder="1" applyAlignment="1">
      <alignment horizontal="center"/>
    </xf>
    <xf numFmtId="164" fontId="1" fillId="0" borderId="0" xfId="1" applyNumberFormat="1" applyFont="1" applyBorder="1" applyAlignment="1">
      <alignment vertical="center"/>
    </xf>
    <xf numFmtId="164" fontId="0" fillId="0" borderId="0" xfId="1" applyNumberFormat="1" applyFont="1" applyBorder="1" applyAlignment="1">
      <alignment vertical="center"/>
    </xf>
    <xf numFmtId="0" fontId="72" fillId="0" borderId="0" xfId="0" applyFont="1" applyBorder="1" applyAlignment="1"/>
    <xf numFmtId="0" fontId="0" fillId="0" borderId="0" xfId="0" applyFont="1" applyBorder="1" applyAlignment="1">
      <alignment horizontal="center" wrapText="1"/>
    </xf>
    <xf numFmtId="0" fontId="0" fillId="0" borderId="0" xfId="0" applyFont="1" applyBorder="1" applyAlignment="1">
      <alignment horizontal="center" vertical="center"/>
    </xf>
    <xf numFmtId="0" fontId="17" fillId="0" borderId="0" xfId="0" applyFont="1" applyBorder="1" applyAlignment="1">
      <alignment horizontal="center" wrapText="1"/>
    </xf>
    <xf numFmtId="10" fontId="1" fillId="0" borderId="0" xfId="1" applyNumberFormat="1" applyFont="1" applyBorder="1" applyAlignment="1">
      <alignment vertical="center"/>
    </xf>
    <xf numFmtId="164" fontId="0" fillId="0" borderId="0" xfId="1" applyNumberFormat="1" applyFont="1" applyAlignment="1">
      <alignment vertical="center"/>
    </xf>
    <xf numFmtId="10" fontId="0" fillId="0" borderId="0" xfId="0" applyNumberFormat="1" applyFont="1" applyBorder="1" applyAlignment="1">
      <alignment vertical="center"/>
    </xf>
    <xf numFmtId="164" fontId="0" fillId="0" borderId="0" xfId="1" applyNumberFormat="1" applyFont="1" applyBorder="1" applyAlignment="1">
      <alignment vertical="center" wrapText="1"/>
    </xf>
    <xf numFmtId="164" fontId="0" fillId="0" borderId="0" xfId="1" applyNumberFormat="1" applyFont="1" applyAlignment="1"/>
    <xf numFmtId="0" fontId="0" fillId="0" borderId="0" xfId="0" applyFont="1" applyAlignment="1">
      <alignment horizontal="center"/>
    </xf>
    <xf numFmtId="164" fontId="17" fillId="0" borderId="0" xfId="0" applyNumberFormat="1" applyFont="1"/>
    <xf numFmtId="2" fontId="17" fillId="0" borderId="0" xfId="0" applyNumberFormat="1" applyFont="1"/>
    <xf numFmtId="164" fontId="17" fillId="0" borderId="19" xfId="0" applyNumberFormat="1" applyFont="1" applyBorder="1"/>
    <xf numFmtId="164" fontId="60" fillId="0" borderId="19" xfId="2" applyNumberFormat="1" applyFont="1" applyBorder="1" applyAlignment="1" applyProtection="1"/>
    <xf numFmtId="10" fontId="0" fillId="4" borderId="0" xfId="12" applyNumberFormat="1" applyFont="1" applyFill="1"/>
    <xf numFmtId="164" fontId="0" fillId="0" borderId="0" xfId="0" applyNumberFormat="1" applyFont="1"/>
    <xf numFmtId="3" fontId="0" fillId="0" borderId="0" xfId="0" applyNumberFormat="1" applyFont="1"/>
    <xf numFmtId="3" fontId="41" fillId="0" borderId="0" xfId="0" applyNumberFormat="1" applyFont="1"/>
    <xf numFmtId="3" fontId="17" fillId="0" borderId="0" xfId="0" applyNumberFormat="1" applyFont="1"/>
    <xf numFmtId="10" fontId="0" fillId="0" borderId="0" xfId="12" applyNumberFormat="1" applyFont="1" applyFill="1"/>
    <xf numFmtId="0" fontId="9" fillId="3" borderId="33" xfId="0" applyFont="1" applyFill="1" applyBorder="1" applyAlignment="1">
      <alignment vertical="top" wrapText="1"/>
    </xf>
    <xf numFmtId="0" fontId="9" fillId="3" borderId="48" xfId="0" applyFont="1" applyFill="1" applyBorder="1" applyAlignment="1">
      <alignment vertical="top" wrapText="1"/>
    </xf>
    <xf numFmtId="0" fontId="9" fillId="3" borderId="32" xfId="0" applyNumberFormat="1" applyFont="1" applyFill="1" applyBorder="1" applyAlignment="1">
      <alignment vertical="top" wrapText="1"/>
    </xf>
    <xf numFmtId="3" fontId="9" fillId="3" borderId="32" xfId="0" applyNumberFormat="1" applyFont="1" applyFill="1" applyBorder="1" applyAlignment="1">
      <alignment vertical="top" wrapText="1"/>
    </xf>
    <xf numFmtId="0" fontId="2" fillId="0" borderId="15" xfId="0" applyFont="1" applyBorder="1" applyAlignment="1">
      <alignment horizontal="center" wrapText="1"/>
    </xf>
    <xf numFmtId="0" fontId="2" fillId="0" borderId="22" xfId="0" applyFont="1" applyBorder="1" applyAlignment="1">
      <alignment horizontal="center" wrapText="1"/>
    </xf>
    <xf numFmtId="0" fontId="0" fillId="0" borderId="0" xfId="0" applyAlignment="1">
      <alignment horizontal="center"/>
    </xf>
    <xf numFmtId="0" fontId="2" fillId="0" borderId="0" xfId="0" applyFont="1"/>
    <xf numFmtId="0" fontId="70" fillId="18" borderId="97" xfId="2" applyFont="1" applyFill="1" applyBorder="1" applyAlignment="1" applyProtection="1">
      <alignment horizontal="center" vertical="top"/>
    </xf>
    <xf numFmtId="0" fontId="70" fillId="18" borderId="101" xfId="2" applyFont="1" applyFill="1" applyBorder="1" applyAlignment="1" applyProtection="1">
      <alignment horizontal="center" vertical="top"/>
    </xf>
    <xf numFmtId="0" fontId="0" fillId="13" borderId="0" xfId="0" applyFill="1"/>
    <xf numFmtId="0" fontId="69" fillId="19" borderId="97" xfId="0" applyFont="1" applyFill="1" applyBorder="1" applyAlignment="1">
      <alignment horizontal="center" vertical="top"/>
    </xf>
    <xf numFmtId="0" fontId="69" fillId="19" borderId="97" xfId="0" applyFont="1" applyFill="1" applyBorder="1" applyAlignment="1">
      <alignment horizontal="right" vertical="top"/>
    </xf>
    <xf numFmtId="0" fontId="69" fillId="19" borderId="98" xfId="0" applyFont="1" applyFill="1" applyBorder="1" applyAlignment="1">
      <alignment horizontal="center" vertical="top"/>
    </xf>
    <xf numFmtId="0" fontId="69" fillId="19" borderId="98" xfId="0" applyFont="1" applyFill="1" applyBorder="1" applyAlignment="1">
      <alignment horizontal="right" vertical="top"/>
    </xf>
    <xf numFmtId="0" fontId="69" fillId="19" borderId="101" xfId="0" applyFont="1" applyFill="1" applyBorder="1" applyAlignment="1">
      <alignment horizontal="center" vertical="top"/>
    </xf>
    <xf numFmtId="0" fontId="69" fillId="19" borderId="101" xfId="0" applyFont="1" applyFill="1" applyBorder="1" applyAlignment="1">
      <alignment horizontal="right" vertical="top"/>
    </xf>
    <xf numFmtId="0" fontId="71" fillId="5" borderId="104" xfId="0" applyFont="1" applyFill="1" applyBorder="1" applyAlignment="1">
      <alignment horizontal="right" vertical="top"/>
    </xf>
    <xf numFmtId="0" fontId="74" fillId="5" borderId="104" xfId="0" applyFont="1" applyFill="1" applyBorder="1" applyAlignment="1">
      <alignment vertical="top"/>
    </xf>
    <xf numFmtId="0" fontId="71" fillId="5" borderId="104" xfId="0" applyFont="1" applyFill="1" applyBorder="1" applyAlignment="1">
      <alignment horizontal="center" vertical="top"/>
    </xf>
    <xf numFmtId="0" fontId="71" fillId="5" borderId="104" xfId="0" applyFont="1" applyFill="1" applyBorder="1" applyAlignment="1">
      <alignment vertical="top"/>
    </xf>
    <xf numFmtId="14" fontId="71" fillId="5" borderId="104" xfId="0" applyNumberFormat="1" applyFont="1" applyFill="1" applyBorder="1" applyAlignment="1">
      <alignment horizontal="center" vertical="top"/>
    </xf>
    <xf numFmtId="8" fontId="71" fillId="5" borderId="104" xfId="0" applyNumberFormat="1" applyFont="1" applyFill="1" applyBorder="1" applyAlignment="1">
      <alignment horizontal="right" vertical="top"/>
    </xf>
    <xf numFmtId="3" fontId="71" fillId="13" borderId="104" xfId="0" applyNumberFormat="1" applyFont="1" applyFill="1" applyBorder="1" applyAlignment="1">
      <alignment horizontal="center" vertical="top"/>
    </xf>
    <xf numFmtId="10" fontId="71" fillId="5" borderId="104" xfId="0" applyNumberFormat="1" applyFont="1" applyFill="1" applyBorder="1" applyAlignment="1">
      <alignment horizontal="right" vertical="top"/>
    </xf>
    <xf numFmtId="3" fontId="71" fillId="4" borderId="104" xfId="0" applyNumberFormat="1" applyFont="1" applyFill="1" applyBorder="1" applyAlignment="1">
      <alignment horizontal="center" vertical="top"/>
    </xf>
    <xf numFmtId="0" fontId="71" fillId="20" borderId="104" xfId="0" applyFont="1" applyFill="1" applyBorder="1" applyAlignment="1">
      <alignment horizontal="right" vertical="top"/>
    </xf>
    <xf numFmtId="0" fontId="74" fillId="20" borderId="104" xfId="0" applyFont="1" applyFill="1" applyBorder="1" applyAlignment="1">
      <alignment vertical="top"/>
    </xf>
    <xf numFmtId="0" fontId="71" fillId="20" borderId="104" xfId="0" applyFont="1" applyFill="1" applyBorder="1" applyAlignment="1">
      <alignment horizontal="center" vertical="top"/>
    </xf>
    <xf numFmtId="0" fontId="71" fillId="20" borderId="104" xfId="0" applyFont="1" applyFill="1" applyBorder="1" applyAlignment="1">
      <alignment vertical="top"/>
    </xf>
    <xf numFmtId="14" fontId="71" fillId="20" borderId="104" xfId="0" applyNumberFormat="1" applyFont="1" applyFill="1" applyBorder="1" applyAlignment="1">
      <alignment horizontal="center" vertical="top"/>
    </xf>
    <xf numFmtId="8" fontId="71" fillId="20" borderId="104" xfId="0" applyNumberFormat="1" applyFont="1" applyFill="1" applyBorder="1" applyAlignment="1">
      <alignment horizontal="right" vertical="top"/>
    </xf>
    <xf numFmtId="10" fontId="71" fillId="20" borderId="104" xfId="0" applyNumberFormat="1" applyFont="1" applyFill="1" applyBorder="1" applyAlignment="1">
      <alignment horizontal="right" vertical="top"/>
    </xf>
    <xf numFmtId="17" fontId="0" fillId="0" borderId="0" xfId="0" applyNumberFormat="1"/>
    <xf numFmtId="0" fontId="2" fillId="0" borderId="15" xfId="0" applyFont="1" applyBorder="1"/>
    <xf numFmtId="164" fontId="2" fillId="0" borderId="10" xfId="0" applyNumberFormat="1" applyFont="1" applyBorder="1"/>
    <xf numFmtId="164" fontId="2" fillId="0" borderId="13" xfId="0" applyNumberFormat="1" applyFont="1" applyBorder="1"/>
    <xf numFmtId="164" fontId="2" fillId="0" borderId="13" xfId="0" applyNumberFormat="1" applyFont="1" applyFill="1" applyBorder="1"/>
    <xf numFmtId="0" fontId="2" fillId="0" borderId="11" xfId="0" applyFont="1" applyFill="1" applyBorder="1"/>
    <xf numFmtId="0" fontId="2" fillId="0" borderId="23" xfId="0" applyFont="1" applyFill="1" applyBorder="1"/>
    <xf numFmtId="0" fontId="2" fillId="0" borderId="19" xfId="0" applyFont="1" applyFill="1" applyBorder="1"/>
    <xf numFmtId="164" fontId="2" fillId="0" borderId="14" xfId="0" applyNumberFormat="1" applyFont="1" applyBorder="1"/>
    <xf numFmtId="164" fontId="2" fillId="0" borderId="0" xfId="0" applyNumberFormat="1" applyFont="1" applyBorder="1" applyAlignment="1">
      <alignment horizontal="center" wrapText="1"/>
    </xf>
    <xf numFmtId="177" fontId="2" fillId="0" borderId="0" xfId="1" applyNumberFormat="1" applyFont="1" applyBorder="1" applyAlignment="1">
      <alignment horizontal="center" wrapText="1"/>
    </xf>
    <xf numFmtId="164" fontId="2" fillId="0" borderId="20" xfId="1" applyNumberFormat="1" applyFont="1" applyBorder="1" applyAlignment="1">
      <alignment horizontal="center" wrapText="1"/>
    </xf>
    <xf numFmtId="164" fontId="2" fillId="0" borderId="22" xfId="1" applyNumberFormat="1" applyFont="1" applyBorder="1" applyAlignment="1">
      <alignment horizontal="center" wrapText="1"/>
    </xf>
    <xf numFmtId="0" fontId="2" fillId="0" borderId="20" xfId="0" applyFont="1" applyBorder="1" applyAlignment="1">
      <alignment horizontal="center" wrapText="1"/>
    </xf>
    <xf numFmtId="0" fontId="2" fillId="0" borderId="22" xfId="0" applyFont="1" applyBorder="1" applyAlignment="1">
      <alignment horizontal="center" wrapText="1"/>
    </xf>
    <xf numFmtId="164" fontId="2" fillId="0" borderId="10" xfId="1" applyNumberFormat="1" applyFont="1" applyBorder="1" applyAlignment="1">
      <alignment horizontal="center" wrapText="1"/>
    </xf>
    <xf numFmtId="164" fontId="2" fillId="0" borderId="15" xfId="1" applyNumberFormat="1" applyFont="1" applyBorder="1" applyAlignment="1">
      <alignment horizontal="center" wrapText="1"/>
    </xf>
    <xf numFmtId="164" fontId="2" fillId="0" borderId="13" xfId="1" applyNumberFormat="1" applyFont="1" applyBorder="1" applyAlignment="1">
      <alignment horizontal="center" wrapText="1"/>
    </xf>
    <xf numFmtId="164" fontId="2" fillId="0" borderId="14" xfId="1" applyNumberFormat="1" applyFont="1" applyBorder="1" applyAlignment="1">
      <alignment horizontal="center" wrapText="1"/>
    </xf>
    <xf numFmtId="164" fontId="2" fillId="0" borderId="12" xfId="1" applyNumberFormat="1" applyFont="1" applyBorder="1" applyAlignment="1">
      <alignment horizontal="center" wrapText="1"/>
    </xf>
    <xf numFmtId="164" fontId="2" fillId="0" borderId="16" xfId="1" applyNumberFormat="1" applyFont="1" applyBorder="1" applyAlignment="1">
      <alignment horizontal="center" wrapText="1"/>
    </xf>
    <xf numFmtId="0" fontId="2" fillId="0" borderId="10" xfId="0" applyFont="1" applyBorder="1" applyAlignment="1">
      <alignment horizontal="center"/>
    </xf>
    <xf numFmtId="0" fontId="2" fillId="0" borderId="15" xfId="0" applyFont="1" applyBorder="1" applyAlignment="1">
      <alignment horizontal="center"/>
    </xf>
    <xf numFmtId="0" fontId="2" fillId="0" borderId="8"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21" xfId="0" applyFont="1" applyBorder="1" applyAlignment="1">
      <alignment horizontal="center"/>
    </xf>
    <xf numFmtId="0" fontId="8" fillId="0" borderId="20" xfId="2" applyBorder="1" applyAlignment="1" applyProtection="1">
      <alignment horizontal="center" wrapText="1"/>
    </xf>
    <xf numFmtId="0" fontId="8" fillId="0" borderId="22" xfId="2" applyBorder="1" applyAlignment="1" applyProtection="1">
      <alignment horizontal="center" wrapText="1"/>
    </xf>
    <xf numFmtId="164" fontId="2" fillId="0" borderId="10" xfId="0" applyNumberFormat="1" applyFont="1" applyBorder="1" applyAlignment="1">
      <alignment horizontal="center" wrapText="1"/>
    </xf>
    <xf numFmtId="164" fontId="2" fillId="0" borderId="15" xfId="0" applyNumberFormat="1" applyFont="1" applyBorder="1" applyAlignment="1">
      <alignment horizontal="center" wrapText="1"/>
    </xf>
    <xf numFmtId="164" fontId="2" fillId="0" borderId="13" xfId="0" applyNumberFormat="1" applyFont="1" applyBorder="1" applyAlignment="1">
      <alignment horizontal="center" wrapText="1"/>
    </xf>
    <xf numFmtId="164" fontId="2" fillId="0" borderId="14" xfId="0" applyNumberFormat="1" applyFont="1" applyBorder="1" applyAlignment="1">
      <alignment horizontal="center" wrapText="1"/>
    </xf>
    <xf numFmtId="164" fontId="2" fillId="0" borderId="12" xfId="0" applyNumberFormat="1" applyFont="1" applyBorder="1" applyAlignment="1">
      <alignment horizontal="center" wrapText="1"/>
    </xf>
    <xf numFmtId="164" fontId="2" fillId="0" borderId="16" xfId="0" applyNumberFormat="1" applyFont="1" applyBorder="1" applyAlignment="1">
      <alignment horizontal="center" wrapText="1"/>
    </xf>
    <xf numFmtId="0" fontId="2" fillId="0" borderId="10" xfId="0" applyFont="1" applyBorder="1" applyAlignment="1">
      <alignment horizontal="center" wrapText="1"/>
    </xf>
    <xf numFmtId="0" fontId="2" fillId="0" borderId="15" xfId="0" applyFont="1" applyBorder="1" applyAlignment="1">
      <alignment horizontal="center" wrapText="1"/>
    </xf>
    <xf numFmtId="164" fontId="2" fillId="0" borderId="7" xfId="0" applyNumberFormat="1" applyFont="1" applyBorder="1" applyAlignment="1">
      <alignment horizontal="center" wrapText="1"/>
    </xf>
    <xf numFmtId="164" fontId="2" fillId="0" borderId="20" xfId="0" applyNumberFormat="1" applyFont="1" applyBorder="1" applyAlignment="1">
      <alignment horizontal="center" wrapText="1"/>
    </xf>
    <xf numFmtId="164" fontId="2" fillId="0" borderId="22" xfId="0" applyNumberFormat="1" applyFont="1" applyBorder="1" applyAlignment="1">
      <alignment horizontal="center" wrapText="1"/>
    </xf>
    <xf numFmtId="0" fontId="8" fillId="0" borderId="10" xfId="2" applyBorder="1" applyAlignment="1" applyProtection="1">
      <alignment horizontal="center" wrapText="1"/>
    </xf>
    <xf numFmtId="0" fontId="8" fillId="0" borderId="15" xfId="2" applyBorder="1" applyAlignment="1" applyProtection="1">
      <alignment horizontal="center" wrapText="1"/>
    </xf>
    <xf numFmtId="164" fontId="2" fillId="0" borderId="0" xfId="0" applyNumberFormat="1" applyFont="1" applyBorder="1" applyAlignment="1">
      <alignment horizontal="center" wrapText="1"/>
    </xf>
    <xf numFmtId="0" fontId="8" fillId="0" borderId="8" xfId="2" applyBorder="1" applyAlignment="1" applyProtection="1">
      <alignment horizontal="center" wrapText="1"/>
    </xf>
    <xf numFmtId="164" fontId="52" fillId="0" borderId="20" xfId="1" applyNumberFormat="1" applyFont="1" applyBorder="1" applyAlignment="1" applyProtection="1">
      <alignment horizontal="center" wrapText="1"/>
    </xf>
    <xf numFmtId="164" fontId="52" fillId="0" borderId="22" xfId="1" applyNumberFormat="1" applyFont="1" applyBorder="1" applyAlignment="1" applyProtection="1">
      <alignment horizontal="center" wrapText="1"/>
    </xf>
    <xf numFmtId="164" fontId="52" fillId="0" borderId="10" xfId="1" applyNumberFormat="1" applyFont="1" applyBorder="1" applyAlignment="1" applyProtection="1">
      <alignment horizontal="center" wrapText="1"/>
    </xf>
    <xf numFmtId="164" fontId="52" fillId="0" borderId="15" xfId="1" applyNumberFormat="1" applyFont="1" applyBorder="1" applyAlignment="1" applyProtection="1">
      <alignment horizontal="center" wrapText="1"/>
    </xf>
    <xf numFmtId="164" fontId="52" fillId="0" borderId="13" xfId="1" applyNumberFormat="1" applyFont="1" applyBorder="1" applyAlignment="1" applyProtection="1">
      <alignment horizontal="center" wrapText="1"/>
    </xf>
    <xf numFmtId="164" fontId="52" fillId="0" borderId="14" xfId="1" applyNumberFormat="1" applyFont="1" applyBorder="1" applyAlignment="1" applyProtection="1">
      <alignment horizontal="center" wrapText="1"/>
    </xf>
    <xf numFmtId="164" fontId="8" fillId="0" borderId="0" xfId="1" applyNumberFormat="1" applyFont="1" applyBorder="1" applyAlignment="1" applyProtection="1">
      <alignment horizontal="center" wrapText="1"/>
    </xf>
    <xf numFmtId="164" fontId="8" fillId="0" borderId="10" xfId="1" applyNumberFormat="1" applyFont="1" applyBorder="1" applyAlignment="1" applyProtection="1">
      <alignment horizontal="center" wrapText="1"/>
    </xf>
    <xf numFmtId="164" fontId="8" fillId="0" borderId="15" xfId="1" applyNumberFormat="1" applyFont="1" applyBorder="1" applyAlignment="1" applyProtection="1">
      <alignment horizontal="center" wrapText="1"/>
    </xf>
    <xf numFmtId="164" fontId="52" fillId="0" borderId="12" xfId="1" applyNumberFormat="1" applyFont="1" applyBorder="1" applyAlignment="1" applyProtection="1">
      <alignment horizontal="center" wrapText="1"/>
    </xf>
    <xf numFmtId="164" fontId="52" fillId="0" borderId="16" xfId="1" applyNumberFormat="1" applyFont="1" applyBorder="1" applyAlignment="1" applyProtection="1">
      <alignment horizontal="center" wrapText="1"/>
    </xf>
    <xf numFmtId="164" fontId="52" fillId="0" borderId="0" xfId="1" applyNumberFormat="1" applyFont="1" applyBorder="1" applyAlignment="1" applyProtection="1">
      <alignment horizontal="center" wrapText="1"/>
    </xf>
    <xf numFmtId="0" fontId="52" fillId="0" borderId="10" xfId="2" applyFont="1" applyBorder="1" applyAlignment="1" applyProtection="1">
      <alignment horizontal="center" wrapText="1"/>
    </xf>
    <xf numFmtId="0" fontId="52" fillId="0" borderId="15" xfId="2" applyFont="1" applyBorder="1" applyAlignment="1" applyProtection="1">
      <alignment horizontal="center" wrapText="1"/>
    </xf>
    <xf numFmtId="0" fontId="52" fillId="0" borderId="13" xfId="2" applyFont="1" applyBorder="1" applyAlignment="1" applyProtection="1">
      <alignment horizontal="center" wrapText="1"/>
    </xf>
    <xf numFmtId="0" fontId="52" fillId="0" borderId="14" xfId="2" applyFont="1" applyBorder="1" applyAlignment="1" applyProtection="1">
      <alignment horizontal="center" wrapText="1"/>
    </xf>
    <xf numFmtId="0" fontId="52" fillId="0" borderId="12" xfId="2" applyFont="1" applyBorder="1" applyAlignment="1" applyProtection="1">
      <alignment horizontal="center" wrapText="1"/>
    </xf>
    <xf numFmtId="0" fontId="52" fillId="0" borderId="16" xfId="2" applyFont="1" applyBorder="1" applyAlignment="1" applyProtection="1">
      <alignment horizontal="center" wrapText="1"/>
    </xf>
    <xf numFmtId="0" fontId="8" fillId="0" borderId="0" xfId="2" applyBorder="1" applyAlignment="1" applyProtection="1">
      <alignment horizontal="center" wrapText="1"/>
    </xf>
    <xf numFmtId="0" fontId="52" fillId="0" borderId="0" xfId="2" applyFont="1" applyBorder="1" applyAlignment="1" applyProtection="1">
      <alignment horizontal="center" wrapText="1"/>
    </xf>
    <xf numFmtId="164" fontId="2" fillId="12" borderId="13" xfId="1" applyNumberFormat="1" applyFont="1" applyFill="1" applyBorder="1" applyAlignment="1">
      <alignment horizontal="center" wrapText="1"/>
    </xf>
    <xf numFmtId="164" fontId="2" fillId="12" borderId="14" xfId="1" applyNumberFormat="1" applyFont="1" applyFill="1" applyBorder="1" applyAlignment="1">
      <alignment horizontal="center" wrapText="1"/>
    </xf>
    <xf numFmtId="164" fontId="2" fillId="13" borderId="13" xfId="1" applyNumberFormat="1" applyFont="1" applyFill="1" applyBorder="1" applyAlignment="1">
      <alignment horizontal="center" wrapText="1"/>
    </xf>
    <xf numFmtId="164" fontId="2" fillId="13" borderId="14" xfId="1" applyNumberFormat="1" applyFont="1" applyFill="1" applyBorder="1" applyAlignment="1">
      <alignment horizontal="center" wrapText="1"/>
    </xf>
    <xf numFmtId="0" fontId="69" fillId="18" borderId="97" xfId="0" applyFont="1" applyFill="1" applyBorder="1" applyAlignment="1">
      <alignment horizontal="left" vertical="top"/>
    </xf>
    <xf numFmtId="0" fontId="69" fillId="18" borderId="101" xfId="0" applyFont="1" applyFill="1" applyBorder="1" applyAlignment="1">
      <alignment horizontal="left" vertical="top"/>
    </xf>
    <xf numFmtId="0" fontId="69" fillId="18" borderId="97" xfId="0" applyFont="1" applyFill="1" applyBorder="1" applyAlignment="1">
      <alignment horizontal="center" vertical="top"/>
    </xf>
    <xf numFmtId="0" fontId="69" fillId="18" borderId="101" xfId="0" applyFont="1" applyFill="1" applyBorder="1" applyAlignment="1">
      <alignment horizontal="center" vertical="top"/>
    </xf>
    <xf numFmtId="0" fontId="69" fillId="19" borderId="97" xfId="0" applyFont="1" applyFill="1" applyBorder="1" applyAlignment="1">
      <alignment horizontal="center" vertical="top"/>
    </xf>
    <xf numFmtId="0" fontId="69" fillId="19" borderId="98" xfId="0" applyFont="1" applyFill="1" applyBorder="1" applyAlignment="1">
      <alignment horizontal="center" vertical="top"/>
    </xf>
    <xf numFmtId="0" fontId="69" fillId="19" borderId="101" xfId="0" applyFont="1" applyFill="1" applyBorder="1" applyAlignment="1">
      <alignment horizontal="center" vertical="top"/>
    </xf>
    <xf numFmtId="0" fontId="69" fillId="19" borderId="97" xfId="0" applyFont="1" applyFill="1" applyBorder="1" applyAlignment="1">
      <alignment horizontal="left" vertical="top"/>
    </xf>
    <xf numFmtId="0" fontId="69" fillId="19" borderId="98" xfId="0" applyFont="1" applyFill="1" applyBorder="1" applyAlignment="1">
      <alignment horizontal="left" vertical="top"/>
    </xf>
    <xf numFmtId="0" fontId="69" fillId="19" borderId="101" xfId="0" applyFont="1" applyFill="1" applyBorder="1" applyAlignment="1">
      <alignment horizontal="left" vertical="top"/>
    </xf>
    <xf numFmtId="164" fontId="0" fillId="0" borderId="0" xfId="0" applyNumberFormat="1" applyAlignment="1">
      <alignment horizontal="center"/>
    </xf>
    <xf numFmtId="0" fontId="0" fillId="0" borderId="0" xfId="0" applyAlignment="1">
      <alignment horizontal="center"/>
    </xf>
    <xf numFmtId="0" fontId="0" fillId="0" borderId="91" xfId="0" applyBorder="1" applyAlignment="1">
      <alignment horizontal="center" wrapText="1"/>
    </xf>
    <xf numFmtId="0" fontId="0" fillId="0" borderId="93" xfId="0" applyBorder="1" applyAlignment="1">
      <alignment horizontal="center" wrapText="1"/>
    </xf>
    <xf numFmtId="0" fontId="61" fillId="0" borderId="91" xfId="0" applyFont="1" applyBorder="1" applyAlignment="1">
      <alignment horizontal="left" wrapText="1"/>
    </xf>
    <xf numFmtId="0" fontId="61" fillId="0" borderId="92" xfId="0" applyFont="1" applyBorder="1" applyAlignment="1">
      <alignment horizontal="left" wrapText="1"/>
    </xf>
    <xf numFmtId="0" fontId="61" fillId="0" borderId="93" xfId="0" applyFont="1" applyBorder="1" applyAlignment="1">
      <alignment horizontal="left" wrapText="1"/>
    </xf>
    <xf numFmtId="0" fontId="62" fillId="0" borderId="94" xfId="0" applyFont="1" applyBorder="1" applyAlignment="1">
      <alignment horizontal="left" wrapText="1"/>
    </xf>
    <xf numFmtId="0" fontId="62" fillId="0" borderId="95" xfId="0" applyFont="1" applyBorder="1" applyAlignment="1">
      <alignment horizontal="left" wrapText="1"/>
    </xf>
    <xf numFmtId="0" fontId="62" fillId="0" borderId="96" xfId="0" applyFont="1" applyBorder="1" applyAlignment="1">
      <alignment horizontal="left" wrapText="1"/>
    </xf>
    <xf numFmtId="0" fontId="63" fillId="0" borderId="97" xfId="0" applyFont="1" applyBorder="1" applyAlignment="1">
      <alignment horizontal="center" wrapText="1"/>
    </xf>
    <xf numFmtId="0" fontId="63" fillId="0" borderId="98" xfId="0" applyFont="1" applyBorder="1" applyAlignment="1">
      <alignment horizontal="center" wrapText="1"/>
    </xf>
    <xf numFmtId="0" fontId="63" fillId="0" borderId="101" xfId="0" applyFont="1" applyBorder="1" applyAlignment="1">
      <alignment horizontal="center" wrapText="1"/>
    </xf>
    <xf numFmtId="0" fontId="63" fillId="0" borderId="91" xfId="0" applyFont="1" applyBorder="1" applyAlignment="1">
      <alignment horizontal="center" wrapText="1"/>
    </xf>
    <xf numFmtId="0" fontId="63" fillId="0" borderId="92" xfId="0" applyFont="1" applyBorder="1" applyAlignment="1">
      <alignment horizontal="center" wrapText="1"/>
    </xf>
    <xf numFmtId="0" fontId="63" fillId="0" borderId="93" xfId="0" applyFont="1" applyBorder="1" applyAlignment="1">
      <alignment horizontal="center" wrapText="1"/>
    </xf>
    <xf numFmtId="0" fontId="63" fillId="0" borderId="99" xfId="0" applyFont="1" applyBorder="1" applyAlignment="1">
      <alignment horizontal="center" wrapText="1"/>
    </xf>
    <xf numFmtId="0" fontId="63" fillId="0" borderId="0" xfId="0" applyFont="1" applyBorder="1" applyAlignment="1">
      <alignment horizontal="center" wrapText="1"/>
    </xf>
    <xf numFmtId="0" fontId="63" fillId="0" borderId="100" xfId="0" applyFont="1" applyBorder="1" applyAlignment="1">
      <alignment horizontal="center" wrapText="1"/>
    </xf>
    <xf numFmtId="0" fontId="63" fillId="0" borderId="94" xfId="0" applyFont="1" applyBorder="1" applyAlignment="1">
      <alignment horizontal="center" wrapText="1"/>
    </xf>
    <xf numFmtId="0" fontId="63" fillId="0" borderId="95" xfId="0" applyFont="1" applyBorder="1" applyAlignment="1">
      <alignment horizontal="center" wrapText="1"/>
    </xf>
    <xf numFmtId="0" fontId="63" fillId="0" borderId="96" xfId="0" applyFont="1" applyBorder="1" applyAlignment="1">
      <alignment horizontal="center" wrapText="1"/>
    </xf>
    <xf numFmtId="0" fontId="0" fillId="0" borderId="99" xfId="0" applyBorder="1" applyAlignment="1">
      <alignment horizontal="center" wrapText="1"/>
    </xf>
    <xf numFmtId="0" fontId="0" fillId="0" borderId="100" xfId="0" applyBorder="1" applyAlignment="1">
      <alignment horizontal="center" wrapText="1"/>
    </xf>
    <xf numFmtId="0" fontId="64" fillId="0" borderId="91" xfId="0" applyFont="1" applyBorder="1" applyAlignment="1">
      <alignment vertical="top" wrapText="1"/>
    </xf>
    <xf numFmtId="0" fontId="64" fillId="0" borderId="92" xfId="0" applyFont="1" applyBorder="1" applyAlignment="1">
      <alignment vertical="top" wrapText="1"/>
    </xf>
    <xf numFmtId="0" fontId="64" fillId="0" borderId="93" xfId="0" applyFont="1" applyBorder="1" applyAlignment="1">
      <alignment vertical="top" wrapText="1"/>
    </xf>
    <xf numFmtId="0" fontId="64" fillId="0" borderId="0" xfId="0" applyFont="1" applyAlignment="1">
      <alignment vertical="top" wrapText="1"/>
    </xf>
    <xf numFmtId="0" fontId="64" fillId="0" borderId="100" xfId="0" applyFont="1" applyBorder="1" applyAlignment="1">
      <alignment vertical="top" wrapText="1"/>
    </xf>
    <xf numFmtId="0" fontId="65" fillId="0" borderId="99" xfId="0" applyFont="1" applyBorder="1" applyAlignment="1">
      <alignment vertical="top" wrapText="1"/>
    </xf>
    <xf numFmtId="0" fontId="65" fillId="0" borderId="0" xfId="0" applyFont="1" applyAlignment="1">
      <alignment vertical="top" wrapText="1"/>
    </xf>
    <xf numFmtId="0" fontId="63" fillId="0" borderId="102" xfId="0" applyFont="1" applyBorder="1" applyAlignment="1">
      <alignment horizontal="center" wrapText="1"/>
    </xf>
    <xf numFmtId="0" fontId="63" fillId="0" borderId="103" xfId="0" applyFont="1" applyBorder="1" applyAlignment="1">
      <alignment horizontal="center" wrapText="1"/>
    </xf>
    <xf numFmtId="0" fontId="64" fillId="0" borderId="99" xfId="0" applyFont="1" applyBorder="1" applyAlignment="1">
      <alignment vertical="top" wrapText="1"/>
    </xf>
    <xf numFmtId="0" fontId="65" fillId="0" borderId="100" xfId="0" applyFont="1" applyBorder="1" applyAlignment="1">
      <alignment vertical="top" wrapText="1"/>
    </xf>
    <xf numFmtId="0" fontId="67" fillId="0" borderId="0" xfId="0" applyFont="1" applyAlignment="1">
      <alignment vertical="top" wrapText="1"/>
    </xf>
    <xf numFmtId="0" fontId="67" fillId="0" borderId="100" xfId="0" applyFont="1" applyBorder="1" applyAlignment="1">
      <alignment vertical="top" wrapText="1"/>
    </xf>
    <xf numFmtId="0" fontId="63" fillId="0" borderId="0" xfId="0" applyFont="1" applyAlignment="1">
      <alignment vertical="top" wrapText="1"/>
    </xf>
    <xf numFmtId="0" fontId="63" fillId="0" borderId="100" xfId="0" applyFont="1" applyBorder="1" applyAlignment="1">
      <alignment vertical="top" wrapText="1"/>
    </xf>
    <xf numFmtId="0" fontId="0" fillId="0" borderId="0" xfId="0" applyAlignment="1">
      <alignment wrapText="1"/>
    </xf>
    <xf numFmtId="0" fontId="0" fillId="0" borderId="100" xfId="0" applyBorder="1" applyAlignment="1">
      <alignment wrapText="1"/>
    </xf>
    <xf numFmtId="0" fontId="0" fillId="0" borderId="95" xfId="0" applyBorder="1" applyAlignment="1">
      <alignment wrapText="1"/>
    </xf>
    <xf numFmtId="0" fontId="0" fillId="0" borderId="96" xfId="0" applyBorder="1" applyAlignment="1">
      <alignment wrapText="1"/>
    </xf>
    <xf numFmtId="0" fontId="65" fillId="0" borderId="94" xfId="0" applyFont="1" applyBorder="1" applyAlignment="1">
      <alignment vertical="top" wrapText="1"/>
    </xf>
    <xf numFmtId="0" fontId="65" fillId="0" borderId="95" xfId="0" applyFont="1" applyBorder="1" applyAlignment="1">
      <alignment vertical="top" wrapText="1"/>
    </xf>
    <xf numFmtId="0" fontId="8" fillId="0" borderId="0" xfId="2" applyAlignment="1" applyProtection="1">
      <alignment vertical="top" wrapText="1"/>
    </xf>
    <xf numFmtId="0" fontId="8" fillId="0" borderId="100" xfId="2" applyBorder="1" applyAlignment="1" applyProtection="1">
      <alignment vertical="top" wrapText="1"/>
    </xf>
    <xf numFmtId="0" fontId="0" fillId="0" borderId="0" xfId="0" applyAlignment="1">
      <alignment horizontal="left" wrapText="1"/>
    </xf>
    <xf numFmtId="0" fontId="5" fillId="0" borderId="0" xfId="0" quotePrefix="1" applyFont="1" applyAlignment="1">
      <alignment horizontal="center"/>
    </xf>
    <xf numFmtId="0" fontId="5" fillId="0" borderId="0" xfId="0" applyFont="1" applyAlignment="1">
      <alignment horizontal="center"/>
    </xf>
    <xf numFmtId="0" fontId="9" fillId="3" borderId="2" xfId="0" applyFont="1" applyFill="1" applyBorder="1" applyAlignment="1">
      <alignment horizontal="center" vertical="center" wrapText="1"/>
    </xf>
    <xf numFmtId="0" fontId="9" fillId="3" borderId="3" xfId="0" applyFont="1" applyFill="1" applyBorder="1" applyAlignment="1">
      <alignment horizontal="left" vertical="top" wrapText="1"/>
    </xf>
    <xf numFmtId="0" fontId="9" fillId="3" borderId="0" xfId="0" applyFont="1" applyFill="1" applyBorder="1" applyAlignment="1">
      <alignment horizontal="left" vertical="top" wrapText="1"/>
    </xf>
    <xf numFmtId="0" fontId="9" fillId="4" borderId="3" xfId="0" applyFont="1" applyFill="1" applyBorder="1" applyAlignment="1">
      <alignment horizontal="left" vertical="top" wrapText="1"/>
    </xf>
    <xf numFmtId="0" fontId="9" fillId="3" borderId="5" xfId="0" applyFont="1" applyFill="1" applyBorder="1" applyAlignment="1">
      <alignment horizontal="left" vertical="top" wrapText="1"/>
    </xf>
    <xf numFmtId="0" fontId="9" fillId="3" borderId="32" xfId="0" applyFont="1" applyFill="1" applyBorder="1" applyAlignment="1">
      <alignment horizontal="left" vertical="top" wrapText="1"/>
    </xf>
    <xf numFmtId="0" fontId="9" fillId="3" borderId="33" xfId="0" applyFont="1" applyFill="1" applyBorder="1" applyAlignment="1">
      <alignment horizontal="left" vertical="top" wrapText="1"/>
    </xf>
    <xf numFmtId="0" fontId="9" fillId="3" borderId="48" xfId="0" applyFont="1" applyFill="1" applyBorder="1" applyAlignment="1">
      <alignment horizontal="left" vertical="top" wrapText="1"/>
    </xf>
    <xf numFmtId="0" fontId="15" fillId="0" borderId="10" xfId="0" applyFont="1" applyBorder="1" applyAlignment="1">
      <alignment horizontal="center" vertical="center"/>
    </xf>
    <xf numFmtId="0" fontId="15" fillId="0" borderId="8" xfId="0" applyFont="1" applyBorder="1" applyAlignment="1">
      <alignment horizontal="center" vertical="center"/>
    </xf>
    <xf numFmtId="0" fontId="15" fillId="0" borderId="12" xfId="0" applyFont="1" applyBorder="1" applyAlignment="1">
      <alignment horizontal="center" vertical="center"/>
    </xf>
    <xf numFmtId="0" fontId="15" fillId="0" borderId="7" xfId="0" applyFont="1" applyBorder="1" applyAlignment="1">
      <alignment horizontal="center" vertical="center"/>
    </xf>
    <xf numFmtId="0" fontId="15" fillId="0" borderId="13"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9" xfId="0" applyFont="1" applyBorder="1" applyAlignment="1">
      <alignment horizontal="center" wrapText="1"/>
    </xf>
    <xf numFmtId="0" fontId="15" fillId="0" borderId="11" xfId="0" applyFont="1" applyBorder="1" applyAlignment="1">
      <alignment horizontal="center" wrapText="1"/>
    </xf>
    <xf numFmtId="0" fontId="15" fillId="0" borderId="18" xfId="0" applyFont="1" applyBorder="1" applyAlignment="1">
      <alignment horizontal="center" wrapText="1"/>
    </xf>
    <xf numFmtId="0" fontId="12" fillId="0" borderId="0" xfId="0" applyFont="1" applyAlignment="1">
      <alignment horizontal="left" vertical="top" wrapText="1"/>
    </xf>
    <xf numFmtId="0" fontId="15" fillId="0" borderId="11" xfId="0" applyFont="1" applyBorder="1" applyAlignment="1">
      <alignment horizontal="center" vertical="center" wrapText="1"/>
    </xf>
    <xf numFmtId="0" fontId="15" fillId="0" borderId="18" xfId="0" applyFont="1" applyBorder="1" applyAlignment="1">
      <alignment horizontal="center" vertical="center" wrapText="1"/>
    </xf>
    <xf numFmtId="0" fontId="15" fillId="0" borderId="1" xfId="0" applyFont="1" applyBorder="1" applyAlignment="1">
      <alignment horizontal="center" vertical="center" wrapText="1"/>
    </xf>
    <xf numFmtId="0" fontId="8" fillId="0" borderId="20" xfId="2" applyBorder="1" applyAlignment="1" applyProtection="1">
      <alignment horizontal="left"/>
    </xf>
    <xf numFmtId="0" fontId="8" fillId="0" borderId="21" xfId="2" applyBorder="1" applyAlignment="1" applyProtection="1">
      <alignment horizontal="left"/>
    </xf>
    <xf numFmtId="0" fontId="45" fillId="11" borderId="34" xfId="13" applyFont="1" applyFill="1" applyBorder="1" applyAlignment="1" applyProtection="1">
      <alignment horizontal="center" vertical="top" wrapText="1" readingOrder="1"/>
      <protection locked="0"/>
    </xf>
    <xf numFmtId="0" fontId="45" fillId="11" borderId="35" xfId="13" applyFont="1" applyFill="1" applyBorder="1" applyAlignment="1" applyProtection="1">
      <alignment horizontal="center" vertical="top" wrapText="1" readingOrder="1"/>
      <protection locked="0"/>
    </xf>
    <xf numFmtId="0" fontId="45" fillId="11" borderId="29" xfId="13" applyFont="1" applyFill="1" applyBorder="1" applyAlignment="1" applyProtection="1">
      <alignment horizontal="center" vertical="top" wrapText="1" readingOrder="1"/>
      <protection locked="0"/>
    </xf>
    <xf numFmtId="0" fontId="2" fillId="11" borderId="71" xfId="0" applyFont="1" applyFill="1" applyBorder="1" applyAlignment="1">
      <alignment horizontal="center"/>
    </xf>
    <xf numFmtId="0" fontId="2" fillId="11" borderId="85" xfId="0" applyFont="1" applyFill="1" applyBorder="1" applyAlignment="1">
      <alignment horizontal="center"/>
    </xf>
    <xf numFmtId="0" fontId="2" fillId="11" borderId="86" xfId="0" applyFont="1" applyFill="1" applyBorder="1" applyAlignment="1">
      <alignment horizontal="center"/>
    </xf>
    <xf numFmtId="49" fontId="36" fillId="0" borderId="0" xfId="0" applyNumberFormat="1" applyFont="1" applyFill="1" applyAlignment="1">
      <alignment wrapText="1"/>
    </xf>
    <xf numFmtId="0" fontId="36" fillId="0" borderId="0" xfId="0" applyFont="1" applyFill="1" applyAlignment="1">
      <alignment wrapText="1"/>
    </xf>
    <xf numFmtId="0" fontId="6" fillId="0" borderId="0" xfId="0" applyFont="1" applyFill="1" applyAlignment="1">
      <alignment wrapText="1"/>
    </xf>
    <xf numFmtId="49" fontId="14" fillId="0" borderId="0" xfId="0" applyNumberFormat="1" applyFont="1" applyFill="1" applyAlignment="1">
      <alignment wrapText="1"/>
    </xf>
    <xf numFmtId="0" fontId="36" fillId="0" borderId="0" xfId="0" applyNumberFormat="1" applyFont="1" applyFill="1" applyAlignment="1">
      <alignment wrapText="1"/>
    </xf>
    <xf numFmtId="0" fontId="6" fillId="0" borderId="0" xfId="0" applyFont="1" applyFill="1" applyAlignment="1"/>
    <xf numFmtId="49" fontId="39" fillId="0" borderId="0" xfId="0" applyNumberFormat="1" applyFont="1" applyFill="1" applyAlignment="1">
      <alignment wrapText="1"/>
    </xf>
    <xf numFmtId="0" fontId="37" fillId="0" borderId="0" xfId="0" applyFont="1" applyFill="1" applyAlignment="1">
      <alignment wrapText="1"/>
    </xf>
    <xf numFmtId="0" fontId="38" fillId="0" borderId="0" xfId="5" applyFont="1" applyFill="1" applyAlignment="1">
      <alignment wrapText="1"/>
    </xf>
    <xf numFmtId="0" fontId="6" fillId="0" borderId="0" xfId="3" applyFont="1" applyFill="1" applyAlignment="1">
      <alignment wrapText="1"/>
    </xf>
    <xf numFmtId="0" fontId="14" fillId="0" borderId="0" xfId="5" applyFont="1" applyFill="1" applyAlignment="1">
      <alignment wrapText="1"/>
    </xf>
    <xf numFmtId="0" fontId="36" fillId="0" borderId="0" xfId="5" applyFont="1" applyFill="1" applyAlignment="1">
      <alignment wrapText="1"/>
    </xf>
    <xf numFmtId="0" fontId="14" fillId="0" borderId="0" xfId="0" applyFont="1" applyFill="1" applyAlignment="1">
      <alignment wrapText="1"/>
    </xf>
    <xf numFmtId="0" fontId="38" fillId="0" borderId="0" xfId="5" applyNumberFormat="1" applyFont="1" applyFill="1" applyBorder="1" applyAlignment="1">
      <alignment wrapText="1"/>
    </xf>
    <xf numFmtId="0" fontId="5" fillId="0" borderId="30" xfId="4" applyFont="1" applyFill="1" applyBorder="1" applyAlignment="1">
      <alignment horizontal="left" wrapText="1"/>
    </xf>
    <xf numFmtId="0" fontId="14" fillId="0" borderId="31" xfId="5" applyFont="1" applyFill="1" applyBorder="1" applyAlignment="1">
      <alignment vertical="top" wrapText="1"/>
    </xf>
    <xf numFmtId="0" fontId="6" fillId="0" borderId="31" xfId="0" applyFont="1" applyFill="1" applyBorder="1" applyAlignment="1">
      <alignment vertical="top" wrapText="1"/>
    </xf>
    <xf numFmtId="0" fontId="14" fillId="0" borderId="0" xfId="5" applyFont="1" applyFill="1" applyBorder="1" applyAlignment="1">
      <alignment wrapText="1"/>
    </xf>
    <xf numFmtId="0" fontId="6" fillId="0" borderId="0" xfId="3" applyFont="1" applyFill="1" applyBorder="1" applyAlignment="1">
      <alignment wrapText="1"/>
    </xf>
    <xf numFmtId="0" fontId="38" fillId="0" borderId="0" xfId="5" applyFont="1" applyFill="1" applyBorder="1" applyAlignment="1">
      <alignment wrapText="1"/>
    </xf>
    <xf numFmtId="0" fontId="2" fillId="0" borderId="44" xfId="0" applyFont="1" applyBorder="1" applyAlignment="1">
      <alignment horizontal="center"/>
    </xf>
    <xf numFmtId="0" fontId="2" fillId="0" borderId="31" xfId="0" applyFont="1" applyBorder="1" applyAlignment="1">
      <alignment horizontal="center"/>
    </xf>
    <xf numFmtId="0" fontId="2" fillId="0" borderId="46" xfId="0" applyFont="1" applyBorder="1" applyAlignment="1">
      <alignment horizontal="left"/>
    </xf>
    <xf numFmtId="0" fontId="2" fillId="0" borderId="0" xfId="0" applyFont="1" applyBorder="1" applyAlignment="1">
      <alignment horizontal="left"/>
    </xf>
    <xf numFmtId="0" fontId="2" fillId="0" borderId="0" xfId="0" applyFont="1"/>
    <xf numFmtId="0" fontId="43" fillId="0" borderId="49" xfId="0" applyFont="1" applyBorder="1" applyAlignment="1">
      <alignment horizontal="center"/>
    </xf>
    <xf numFmtId="0" fontId="43" fillId="0" borderId="50" xfId="0" applyFont="1" applyBorder="1" applyAlignment="1">
      <alignment horizontal="center"/>
    </xf>
    <xf numFmtId="0" fontId="43" fillId="0" borderId="51" xfId="0" applyFont="1" applyBorder="1" applyAlignment="1">
      <alignment horizontal="center"/>
    </xf>
    <xf numFmtId="0" fontId="0" fillId="0" borderId="56" xfId="0" applyBorder="1" applyAlignment="1">
      <alignment horizontal="center"/>
    </xf>
    <xf numFmtId="0" fontId="0" fillId="0" borderId="57" xfId="0" applyBorder="1" applyAlignment="1">
      <alignment horizontal="center"/>
    </xf>
    <xf numFmtId="0" fontId="2" fillId="0" borderId="45" xfId="0" applyFont="1" applyBorder="1" applyAlignment="1">
      <alignment horizontal="center"/>
    </xf>
    <xf numFmtId="0" fontId="7" fillId="0" borderId="19" xfId="18" applyFont="1" applyBorder="1" applyAlignment="1">
      <alignment horizontal="center"/>
    </xf>
    <xf numFmtId="0" fontId="6" fillId="0" borderId="19" xfId="18" applyBorder="1" applyAlignment="1">
      <alignment horizontal="center"/>
    </xf>
    <xf numFmtId="0" fontId="7" fillId="0" borderId="19" xfId="18" applyFont="1" applyFill="1" applyBorder="1" applyAlignment="1">
      <alignment horizontal="center"/>
    </xf>
    <xf numFmtId="0" fontId="7" fillId="0" borderId="19" xfId="0" applyFont="1" applyFill="1" applyBorder="1" applyAlignment="1">
      <alignment horizontal="center"/>
    </xf>
    <xf numFmtId="0" fontId="0" fillId="0" borderId="19" xfId="0" applyFill="1" applyBorder="1" applyAlignment="1">
      <alignment horizontal="center"/>
    </xf>
    <xf numFmtId="0" fontId="7" fillId="0" borderId="19" xfId="0" applyFont="1" applyBorder="1" applyAlignment="1">
      <alignment horizontal="center"/>
    </xf>
    <xf numFmtId="0" fontId="0" fillId="0" borderId="19" xfId="0" applyBorder="1" applyAlignment="1">
      <alignment horizontal="center"/>
    </xf>
    <xf numFmtId="3" fontId="0" fillId="0" borderId="0" xfId="0" applyNumberFormat="1" applyFill="1" applyBorder="1" applyAlignment="1">
      <alignment horizontal="center" wrapText="1"/>
    </xf>
    <xf numFmtId="164" fontId="2" fillId="0" borderId="14" xfId="1" applyNumberFormat="1" applyFont="1" applyFill="1" applyBorder="1" applyAlignment="1">
      <alignment horizontal="center" wrapText="1"/>
    </xf>
    <xf numFmtId="4" fontId="0" fillId="0" borderId="13" xfId="0" applyNumberFormat="1" applyFill="1" applyBorder="1" applyAlignment="1">
      <alignment horizontal="center" wrapText="1"/>
    </xf>
    <xf numFmtId="164" fontId="0" fillId="0" borderId="14" xfId="1" applyNumberFormat="1" applyFont="1" applyFill="1" applyBorder="1" applyAlignment="1">
      <alignment horizontal="center" wrapText="1"/>
    </xf>
    <xf numFmtId="168" fontId="0" fillId="0" borderId="0" xfId="0" applyNumberFormat="1" applyFill="1" applyBorder="1" applyAlignment="1">
      <alignment horizontal="center" wrapText="1"/>
    </xf>
    <xf numFmtId="164" fontId="0" fillId="0" borderId="0" xfId="0" applyNumberFormat="1" applyFill="1" applyBorder="1" applyAlignment="1">
      <alignment horizontal="center" wrapText="1"/>
    </xf>
    <xf numFmtId="164" fontId="0" fillId="0" borderId="14" xfId="0" applyNumberFormat="1" applyFill="1" applyBorder="1" applyAlignment="1">
      <alignment horizontal="center" wrapText="1"/>
    </xf>
    <xf numFmtId="164" fontId="2" fillId="0" borderId="11" xfId="0" applyNumberFormat="1" applyFont="1" applyFill="1" applyBorder="1" applyAlignment="1">
      <alignment horizontal="center" wrapText="1"/>
    </xf>
    <xf numFmtId="0" fontId="0" fillId="0" borderId="0" xfId="0" applyFill="1" applyAlignment="1">
      <alignment horizontal="center" wrapText="1"/>
    </xf>
    <xf numFmtId="164" fontId="2" fillId="0" borderId="13" xfId="1" applyNumberFormat="1" applyFont="1" applyFill="1" applyBorder="1" applyAlignment="1">
      <alignment horizontal="left"/>
    </xf>
  </cellXfs>
  <cellStyles count="19">
    <cellStyle name="Comma" xfId="1" builtinId="3"/>
    <cellStyle name="Comma 2" xfId="14"/>
    <cellStyle name="Comma 2 2" xfId="17"/>
    <cellStyle name="Hyperlink" xfId="2" builtinId="8"/>
    <cellStyle name="Normal" xfId="0" builtinId="0"/>
    <cellStyle name="Normal 2" xfId="3"/>
    <cellStyle name="Normal 2 2" xfId="16"/>
    <cellStyle name="Normal 3" xfId="13"/>
    <cellStyle name="Normal 4" xfId="15"/>
    <cellStyle name="Normal 5" xfId="18"/>
    <cellStyle name="Normal_02-06 statsmnthly totals" xfId="7"/>
    <cellStyle name="Normal_03-06 StatsMnthly Totals" xfId="8"/>
    <cellStyle name="Normal_05-06 gds statsmnthly totals" xfId="10"/>
    <cellStyle name="Normal_1-06 statsmnthly totals" xfId="6"/>
    <cellStyle name="Normal_4-06 statsmnthly totals" xfId="9"/>
    <cellStyle name="Normal_gds statsmnthly totals" xfId="11"/>
    <cellStyle name="Percent" xfId="12" builtinId="5"/>
    <cellStyle name="Source Text" xfId="5"/>
    <cellStyle name="Title-2" xfId="4"/>
  </cellStyles>
  <dxfs count="0"/>
  <tableStyles count="0" defaultTableStyle="TableStyleMedium9" defaultPivotStyle="PivotStyleLight16"/>
  <colors>
    <mruColors>
      <color rgb="FFFD2727"/>
      <color rgb="FFE7298A"/>
      <color rgb="FF7570B3"/>
      <color rgb="FFD95F02"/>
      <color rgb="FF1B9E77"/>
      <color rgb="FF386CB0"/>
      <color rgb="FFFFFF99"/>
      <color rgb="FFFDC086"/>
      <color rgb="FFBEAED4"/>
      <color rgb="FF7FC97F"/>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lang val="en-US"/>
  <c:style val="7"/>
  <c:chart>
    <c:title>
      <c:layout/>
    </c:title>
    <c:plotArea>
      <c:layout/>
      <c:barChart>
        <c:barDir val="col"/>
        <c:grouping val="clustered"/>
        <c:ser>
          <c:idx val="0"/>
          <c:order val="0"/>
          <c:tx>
            <c:v>Total Emissions (kg CO2 eq)</c:v>
          </c:tx>
          <c:spPr>
            <a:solidFill>
              <a:schemeClr val="accent2">
                <a:lumMod val="75000"/>
              </a:schemeClr>
            </a:solidFill>
          </c:spPr>
          <c:cat>
            <c:numRef>
              <c:f>'2006 - 2012 Emissions Overview'!$C$59:$I$59</c:f>
              <c:numCache>
                <c:formatCode>General</c:formatCode>
                <c:ptCount val="7"/>
                <c:pt idx="0">
                  <c:v>2006</c:v>
                </c:pt>
                <c:pt idx="1">
                  <c:v>2007</c:v>
                </c:pt>
                <c:pt idx="2">
                  <c:v>2008</c:v>
                </c:pt>
                <c:pt idx="3">
                  <c:v>2009</c:v>
                </c:pt>
                <c:pt idx="4">
                  <c:v>2010</c:v>
                </c:pt>
                <c:pt idx="5">
                  <c:v>2011</c:v>
                </c:pt>
                <c:pt idx="6">
                  <c:v>2012</c:v>
                </c:pt>
              </c:numCache>
            </c:numRef>
          </c:cat>
          <c:val>
            <c:numRef>
              <c:f>'2006 - 2012 Emissions Overview'!$C$67:$I$67</c:f>
              <c:numCache>
                <c:formatCode>_(* #,##0_);_(* \(#,##0\);_(* "-"??_);_(@_)</c:formatCode>
                <c:ptCount val="7"/>
                <c:pt idx="0">
                  <c:v>314598981.71333039</c:v>
                </c:pt>
                <c:pt idx="1">
                  <c:v>338452329.92606533</c:v>
                </c:pt>
                <c:pt idx="2">
                  <c:v>388444179.64298409</c:v>
                </c:pt>
                <c:pt idx="3">
                  <c:v>400296125.01423711</c:v>
                </c:pt>
                <c:pt idx="4">
                  <c:v>408128902.38028783</c:v>
                </c:pt>
                <c:pt idx="5">
                  <c:v>387245362.99828112</c:v>
                </c:pt>
                <c:pt idx="6">
                  <c:v>366426977.29220891</c:v>
                </c:pt>
              </c:numCache>
            </c:numRef>
          </c:val>
        </c:ser>
        <c:axId val="101622912"/>
        <c:axId val="101624448"/>
      </c:barChart>
      <c:catAx>
        <c:axId val="101622912"/>
        <c:scaling>
          <c:orientation val="minMax"/>
        </c:scaling>
        <c:axPos val="b"/>
        <c:numFmt formatCode="General" sourceLinked="1"/>
        <c:tickLblPos val="nextTo"/>
        <c:crossAx val="101624448"/>
        <c:crosses val="autoZero"/>
        <c:auto val="1"/>
        <c:lblAlgn val="ctr"/>
        <c:lblOffset val="100"/>
      </c:catAx>
      <c:valAx>
        <c:axId val="101624448"/>
        <c:scaling>
          <c:orientation val="minMax"/>
        </c:scaling>
        <c:axPos val="l"/>
        <c:majorGridlines/>
        <c:numFmt formatCode="_(* #,##0_);_(* \(#,##0\);_(* &quot;-&quot;??_);_(@_)" sourceLinked="1"/>
        <c:tickLblPos val="nextTo"/>
        <c:crossAx val="101622912"/>
        <c:crosses val="autoZero"/>
        <c:crossBetween val="between"/>
      </c:valAx>
    </c:plotArea>
    <c:plotVisOnly val="1"/>
  </c:chart>
  <c:printSettings>
    <c:headerFooter/>
    <c:pageMargins b="0.75000000000000244" l="0.70000000000000062" r="0.70000000000000062" t="0.750000000000002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GHG Emissions</a:t>
            </a:r>
          </a:p>
        </c:rich>
      </c:tx>
      <c:layout>
        <c:manualLayout>
          <c:xMode val="edge"/>
          <c:yMode val="edge"/>
          <c:x val="0.17013188976377952"/>
          <c:y val="5.555555555555549E-2"/>
        </c:manualLayout>
      </c:layout>
    </c:title>
    <c:plotArea>
      <c:layout/>
      <c:pieChart>
        <c:varyColors val="1"/>
        <c:ser>
          <c:idx val="0"/>
          <c:order val="0"/>
          <c:tx>
            <c:strRef>
              <c:f>'2012 Inventory'!$C$60</c:f>
              <c:strCache>
                <c:ptCount val="1"/>
                <c:pt idx="0">
                  <c:v>Total Emissions (kg CO2-e)</c:v>
                </c:pt>
              </c:strCache>
            </c:strRef>
          </c:tx>
          <c:dLbls>
            <c:showPercent val="1"/>
          </c:dLbls>
          <c:cat>
            <c:strRef>
              <c:f>'2012 Inventory'!$A$61:$A$66</c:f>
              <c:strCache>
                <c:ptCount val="6"/>
                <c:pt idx="0">
                  <c:v>Residential</c:v>
                </c:pt>
                <c:pt idx="1">
                  <c:v>Commercial</c:v>
                </c:pt>
                <c:pt idx="2">
                  <c:v>Industrial</c:v>
                </c:pt>
                <c:pt idx="3">
                  <c:v>Public Authority</c:v>
                </c:pt>
                <c:pt idx="4">
                  <c:v>Transportation</c:v>
                </c:pt>
                <c:pt idx="5">
                  <c:v>Water and Wastewater</c:v>
                </c:pt>
              </c:strCache>
            </c:strRef>
          </c:cat>
          <c:val>
            <c:numRef>
              <c:f>'2012 Inventory'!$C$61:$C$66</c:f>
              <c:numCache>
                <c:formatCode>_(* #,##0_);_(* \(#,##0\);_(* "-"??_);_(@_)</c:formatCode>
                <c:ptCount val="6"/>
                <c:pt idx="0">
                  <c:v>123251470.71081419</c:v>
                </c:pt>
                <c:pt idx="1">
                  <c:v>89539088.600648433</c:v>
                </c:pt>
                <c:pt idx="2">
                  <c:v>66711181.004970886</c:v>
                </c:pt>
                <c:pt idx="3">
                  <c:v>12984481.14914272</c:v>
                </c:pt>
                <c:pt idx="4">
                  <c:v>73940755.826632604</c:v>
                </c:pt>
                <c:pt idx="5">
                  <c:v>11847231.803672438</c:v>
                </c:pt>
              </c:numCache>
            </c:numRef>
          </c:val>
        </c:ser>
        <c:dLbls>
          <c:showPercent val="1"/>
        </c:dLbls>
        <c:firstSliceAng val="0"/>
      </c:pieChart>
    </c:plotArea>
    <c:legend>
      <c:legendPos val="r"/>
      <c:layout/>
    </c:legend>
    <c:plotVisOnly val="1"/>
  </c:chart>
  <c:spPr>
    <a:ln>
      <a:noFill/>
    </a:ln>
  </c:spPr>
  <c:printSettings>
    <c:headerFooter/>
    <c:pageMargins b="0.75000000000000056" l="0.70000000000000051" r="0.70000000000000051" t="0.75000000000000056" header="0.30000000000000027" footer="0.30000000000000027"/>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GHG Emissions</a:t>
            </a:r>
          </a:p>
        </c:rich>
      </c:tx>
      <c:layout>
        <c:manualLayout>
          <c:xMode val="edge"/>
          <c:yMode val="edge"/>
          <c:x val="0.17013188976377952"/>
          <c:y val="5.5555555555555469E-2"/>
        </c:manualLayout>
      </c:layout>
    </c:title>
    <c:plotArea>
      <c:layout/>
      <c:pieChart>
        <c:varyColors val="1"/>
        <c:ser>
          <c:idx val="0"/>
          <c:order val="0"/>
          <c:tx>
            <c:strRef>
              <c:f>'2012 Inventory'!$C$60</c:f>
              <c:strCache>
                <c:ptCount val="1"/>
                <c:pt idx="0">
                  <c:v>Total Emissions (kg CO2-e)</c:v>
                </c:pt>
              </c:strCache>
            </c:strRef>
          </c:tx>
          <c:dLbls>
            <c:showPercent val="1"/>
          </c:dLbls>
          <c:cat>
            <c:strRef>
              <c:f>'2012 Inventory'!$A$70:$A$73</c:f>
              <c:strCache>
                <c:ptCount val="4"/>
                <c:pt idx="0">
                  <c:v>Natural Gas</c:v>
                </c:pt>
                <c:pt idx="1">
                  <c:v>Other Heating Fuels</c:v>
                </c:pt>
                <c:pt idx="2">
                  <c:v>Electricity</c:v>
                </c:pt>
                <c:pt idx="3">
                  <c:v>Transportation Fuels</c:v>
                </c:pt>
              </c:strCache>
            </c:strRef>
          </c:cat>
          <c:val>
            <c:numRef>
              <c:f>'2012 Inventory'!$C$70:$C$73</c:f>
              <c:numCache>
                <c:formatCode>_(* #,##0_);_(* \(#,##0\);_(* "-"??_);_(@_)</c:formatCode>
                <c:ptCount val="4"/>
                <c:pt idx="0">
                  <c:v>43162048.30882179</c:v>
                </c:pt>
                <c:pt idx="1">
                  <c:v>2845210.2640869566</c:v>
                </c:pt>
                <c:pt idx="2">
                  <c:v>248351063.67859781</c:v>
                </c:pt>
                <c:pt idx="3">
                  <c:v>73940755.826632604</c:v>
                </c:pt>
              </c:numCache>
            </c:numRef>
          </c:val>
        </c:ser>
        <c:dLbls>
          <c:showPercent val="1"/>
        </c:dLbls>
        <c:firstSliceAng val="0"/>
      </c:pieChart>
    </c:plotArea>
    <c:legend>
      <c:legendPos val="r"/>
      <c:layout/>
    </c:legend>
    <c:plotVisOnly val="1"/>
  </c:chart>
  <c:spPr>
    <a:ln>
      <a:noFill/>
    </a:ln>
  </c:spPr>
  <c:printSettings>
    <c:headerFooter/>
    <c:pageMargins b="0.75000000000000089" l="0.70000000000000062" r="0.70000000000000062" t="0.75000000000000089"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Energy Use</a:t>
            </a:r>
          </a:p>
        </c:rich>
      </c:tx>
      <c:layout>
        <c:manualLayout>
          <c:xMode val="edge"/>
          <c:yMode val="edge"/>
          <c:x val="0.21831933508311493"/>
          <c:y val="4.1666666666666664E-2"/>
        </c:manualLayout>
      </c:layout>
    </c:title>
    <c:plotArea>
      <c:layout/>
      <c:pieChart>
        <c:varyColors val="1"/>
        <c:ser>
          <c:idx val="0"/>
          <c:order val="0"/>
          <c:tx>
            <c:strRef>
              <c:f>'2012 Inventory'!$B$60</c:f>
              <c:strCache>
                <c:ptCount val="1"/>
                <c:pt idx="0">
                  <c:v>Total Energy Use (MMBtu)</c:v>
                </c:pt>
              </c:strCache>
            </c:strRef>
          </c:tx>
          <c:dLbls>
            <c:dLbl>
              <c:idx val="1"/>
              <c:layout>
                <c:manualLayout>
                  <c:x val="4.479633619202188E-3"/>
                  <c:y val="-2.3826188393117529E-3"/>
                </c:manualLayout>
              </c:layout>
              <c:showPercent val="1"/>
            </c:dLbl>
            <c:showPercent val="1"/>
          </c:dLbls>
          <c:cat>
            <c:strRef>
              <c:f>'2012 Inventory'!$A$70:$A$73</c:f>
              <c:strCache>
                <c:ptCount val="4"/>
                <c:pt idx="0">
                  <c:v>Natural Gas</c:v>
                </c:pt>
                <c:pt idx="1">
                  <c:v>Other Heating Fuels</c:v>
                </c:pt>
                <c:pt idx="2">
                  <c:v>Electricity</c:v>
                </c:pt>
                <c:pt idx="3">
                  <c:v>Transportation Fuels</c:v>
                </c:pt>
              </c:strCache>
            </c:strRef>
          </c:cat>
          <c:val>
            <c:numRef>
              <c:f>'2012 Inventory'!$B$70:$B$73</c:f>
              <c:numCache>
                <c:formatCode>_(* #,##0_);_(* \(#,##0\);_(* "-"??_);_(@_)</c:formatCode>
                <c:ptCount val="4"/>
                <c:pt idx="0">
                  <c:v>814152.13846657565</c:v>
                </c:pt>
                <c:pt idx="1">
                  <c:v>37754</c:v>
                </c:pt>
                <c:pt idx="2">
                  <c:v>1166415.7306066107</c:v>
                </c:pt>
                <c:pt idx="3">
                  <c:v>984469.7344547055</c:v>
                </c:pt>
              </c:numCache>
            </c:numRef>
          </c:val>
        </c:ser>
        <c:dLbls>
          <c:showPercent val="1"/>
        </c:dLbls>
        <c:firstSliceAng val="0"/>
      </c:pieChart>
    </c:plotArea>
    <c:legend>
      <c:legendPos val="r"/>
      <c:layout>
        <c:manualLayout>
          <c:xMode val="edge"/>
          <c:yMode val="edge"/>
          <c:x val="0.52491483913389025"/>
          <c:y val="0.39500765529308862"/>
          <c:w val="0.43310979877515332"/>
          <c:h val="0.33486876640419994"/>
        </c:manualLayout>
      </c:layout>
      <c:txPr>
        <a:bodyPr/>
        <a:lstStyle/>
        <a:p>
          <a:pPr rtl="0">
            <a:defRPr/>
          </a:pPr>
          <a:endParaRPr lang="en-US"/>
        </a:p>
      </c:txPr>
    </c:legend>
    <c:plotVisOnly val="1"/>
  </c:chart>
  <c:spPr>
    <a:ln>
      <a:noFill/>
    </a:ln>
  </c:spPr>
  <c:printSettings>
    <c:headerFooter/>
    <c:pageMargins b="0.75000000000000089" l="0.70000000000000062" r="0.70000000000000062" t="0.75000000000000089"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Emissions by Source (kg CO</a:t>
            </a:r>
            <a:r>
              <a:rPr lang="en-US" baseline="-25000"/>
              <a:t>2</a:t>
            </a:r>
            <a:r>
              <a:rPr lang="en-US" baseline="0"/>
              <a:t> eq)</a:t>
            </a:r>
            <a:endParaRPr lang="en-US"/>
          </a:p>
        </c:rich>
      </c:tx>
    </c:title>
    <c:plotArea>
      <c:layout/>
      <c:barChart>
        <c:barDir val="col"/>
        <c:grouping val="clustered"/>
        <c:ser>
          <c:idx val="0"/>
          <c:order val="0"/>
          <c:tx>
            <c:strRef>
              <c:f>'2011 Inventory'!$O$5</c:f>
              <c:strCache>
                <c:ptCount val="1"/>
                <c:pt idx="0">
                  <c:v>Total CO2 Equivalent Emissions (kg)</c:v>
                </c:pt>
              </c:strCache>
            </c:strRef>
          </c:tx>
          <c:cat>
            <c:strRef>
              <c:f>'2006 Inventory'!$AD$1:$AD$6</c:f>
              <c:strCache>
                <c:ptCount val="6"/>
                <c:pt idx="0">
                  <c:v>Natural Gas</c:v>
                </c:pt>
                <c:pt idx="1">
                  <c:v>Other Stationary Combustion</c:v>
                </c:pt>
                <c:pt idx="2">
                  <c:v>Electricity</c:v>
                </c:pt>
                <c:pt idx="3">
                  <c:v>Mobile Combustion</c:v>
                </c:pt>
                <c:pt idx="4">
                  <c:v>Water and Wastewater</c:v>
                </c:pt>
                <c:pt idx="5">
                  <c:v>Solid Waste</c:v>
                </c:pt>
              </c:strCache>
            </c:strRef>
          </c:cat>
          <c:val>
            <c:numRef>
              <c:f>('2011 Inventory'!$O$10,'2011 Inventory'!$O$17,'2011 Inventory'!$O$29,'2011 Inventory'!$O$41,'2011 Inventory'!$O$49,'2011 Inventory'!$O$56)</c:f>
              <c:numCache>
                <c:formatCode>_(* #,##0_);_(* \(#,##0\);_(* "-"??_);_(@_)</c:formatCode>
                <c:ptCount val="6"/>
                <c:pt idx="0">
                  <c:v>44150943.867367782</c:v>
                </c:pt>
                <c:pt idx="1">
                  <c:v>2845210.2640869566</c:v>
                </c:pt>
                <c:pt idx="2">
                  <c:v>263330147.4827522</c:v>
                </c:pt>
                <c:pt idx="3">
                  <c:v>76919061.384074286</c:v>
                </c:pt>
                <c:pt idx="4">
                  <c:v>10186155.057457197</c:v>
                </c:pt>
                <c:pt idx="5">
                  <c:v>290993.94020264794</c:v>
                </c:pt>
              </c:numCache>
            </c:numRef>
          </c:val>
        </c:ser>
        <c:axId val="106994688"/>
        <c:axId val="107000576"/>
      </c:barChart>
      <c:catAx>
        <c:axId val="106994688"/>
        <c:scaling>
          <c:orientation val="minMax"/>
        </c:scaling>
        <c:axPos val="b"/>
        <c:tickLblPos val="nextTo"/>
        <c:crossAx val="107000576"/>
        <c:crosses val="autoZero"/>
        <c:auto val="1"/>
        <c:lblAlgn val="ctr"/>
        <c:lblOffset val="100"/>
      </c:catAx>
      <c:valAx>
        <c:axId val="107000576"/>
        <c:scaling>
          <c:orientation val="minMax"/>
        </c:scaling>
        <c:axPos val="l"/>
        <c:majorGridlines/>
        <c:numFmt formatCode="_(* #,##0_);_(* \(#,##0\);_(* &quot;-&quot;??_);_(@_)" sourceLinked="1"/>
        <c:tickLblPos val="nextTo"/>
        <c:crossAx val="106994688"/>
        <c:crosses val="autoZero"/>
        <c:crossBetween val="between"/>
      </c:valAx>
    </c:plotArea>
    <c:legend>
      <c:legendPos val="r"/>
      <c:txPr>
        <a:bodyPr/>
        <a:lstStyle/>
        <a:p>
          <a:pPr rtl="0">
            <a:defRPr/>
          </a:pPr>
          <a:endParaRPr lang="en-US"/>
        </a:p>
      </c:txPr>
    </c:legend>
    <c:plotVisOnly val="1"/>
  </c:chart>
  <c:printSettings>
    <c:headerFooter/>
    <c:pageMargins b="0.75000000000000289" l="0.70000000000000062" r="0.70000000000000062" t="0.75000000000000289"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a:t>Emissions by Sector </a:t>
            </a:r>
            <a:r>
              <a:rPr lang="en-US" sz="1800" b="1" i="0" baseline="0"/>
              <a:t>(kg CO</a:t>
            </a:r>
            <a:r>
              <a:rPr lang="en-US" sz="1800" b="1" i="0" baseline="-25000"/>
              <a:t>2</a:t>
            </a:r>
            <a:r>
              <a:rPr lang="en-US" sz="1800" b="1" i="0" baseline="0"/>
              <a:t> eq)</a:t>
            </a:r>
          </a:p>
        </c:rich>
      </c:tx>
    </c:title>
    <c:plotArea>
      <c:layout/>
      <c:barChart>
        <c:barDir val="col"/>
        <c:grouping val="clustered"/>
        <c:ser>
          <c:idx val="0"/>
          <c:order val="0"/>
          <c:tx>
            <c:strRef>
              <c:f>'2011 Inventory'!$O$20</c:f>
              <c:strCache>
                <c:ptCount val="1"/>
                <c:pt idx="0">
                  <c:v>Total CO2 Equivalent Emissions (kg)</c:v>
                </c:pt>
              </c:strCache>
            </c:strRef>
          </c:tx>
          <c:cat>
            <c:strRef>
              <c:f>'2012 Inventory'!$A$61:$A$67</c:f>
              <c:strCache>
                <c:ptCount val="7"/>
                <c:pt idx="0">
                  <c:v>Residential</c:v>
                </c:pt>
                <c:pt idx="1">
                  <c:v>Commercial</c:v>
                </c:pt>
                <c:pt idx="2">
                  <c:v>Industrial</c:v>
                </c:pt>
                <c:pt idx="3">
                  <c:v>Public Authority</c:v>
                </c:pt>
                <c:pt idx="4">
                  <c:v>Transportation</c:v>
                </c:pt>
                <c:pt idx="5">
                  <c:v>Water and Wastewater</c:v>
                </c:pt>
                <c:pt idx="6">
                  <c:v>Solid Waste</c:v>
                </c:pt>
              </c:strCache>
            </c:strRef>
          </c:cat>
          <c:val>
            <c:numRef>
              <c:f>'2011 Inventory'!$B$61:$B$67</c:f>
              <c:numCache>
                <c:formatCode>_(* #,##0_);_(* \(#,##0\);_(* "-"??_);_(@_)</c:formatCode>
                <c:ptCount val="7"/>
                <c:pt idx="0">
                  <c:v>867273.39175524737</c:v>
                </c:pt>
                <c:pt idx="1">
                  <c:v>575502.04264550819</c:v>
                </c:pt>
                <c:pt idx="2">
                  <c:v>510205.1467330475</c:v>
                </c:pt>
                <c:pt idx="3">
                  <c:v>104556.9616782512</c:v>
                </c:pt>
                <c:pt idx="4">
                  <c:v>1024227.4518535171</c:v>
                </c:pt>
                <c:pt idx="5">
                  <c:v>7559.794082582107</c:v>
                </c:pt>
              </c:numCache>
            </c:numRef>
          </c:val>
        </c:ser>
        <c:axId val="107015168"/>
        <c:axId val="107094784"/>
      </c:barChart>
      <c:catAx>
        <c:axId val="107015168"/>
        <c:scaling>
          <c:orientation val="minMax"/>
        </c:scaling>
        <c:axPos val="b"/>
        <c:tickLblPos val="nextTo"/>
        <c:crossAx val="107094784"/>
        <c:crosses val="autoZero"/>
        <c:auto val="1"/>
        <c:lblAlgn val="ctr"/>
        <c:lblOffset val="100"/>
      </c:catAx>
      <c:valAx>
        <c:axId val="107094784"/>
        <c:scaling>
          <c:orientation val="minMax"/>
        </c:scaling>
        <c:axPos val="l"/>
        <c:majorGridlines/>
        <c:numFmt formatCode="_(* #,##0_);_(* \(#,##0\);_(* &quot;-&quot;??_);_(@_)" sourceLinked="1"/>
        <c:tickLblPos val="nextTo"/>
        <c:crossAx val="107015168"/>
        <c:crosses val="autoZero"/>
        <c:crossBetween val="between"/>
      </c:valAx>
    </c:plotArea>
    <c:legend>
      <c:legendPos val="r"/>
    </c:legend>
    <c:plotVisOnly val="1"/>
  </c:chart>
  <c:printSettings>
    <c:headerFooter/>
    <c:pageMargins b="0.75000000000000289" l="0.70000000000000062" r="0.70000000000000062" t="0.75000000000000289"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Energy Use</a:t>
            </a:r>
          </a:p>
        </c:rich>
      </c:tx>
      <c:layout>
        <c:manualLayout>
          <c:xMode val="edge"/>
          <c:yMode val="edge"/>
          <c:x val="0.21831933508311493"/>
          <c:y val="4.1666666666666664E-2"/>
        </c:manualLayout>
      </c:layout>
    </c:title>
    <c:plotArea>
      <c:layout/>
      <c:pieChart>
        <c:varyColors val="1"/>
        <c:ser>
          <c:idx val="0"/>
          <c:order val="0"/>
          <c:tx>
            <c:strRef>
              <c:f>'2012 Inventory'!$B$60</c:f>
              <c:strCache>
                <c:ptCount val="1"/>
                <c:pt idx="0">
                  <c:v>Total Energy Use (MMBtu)</c:v>
                </c:pt>
              </c:strCache>
            </c:strRef>
          </c:tx>
          <c:dLbls>
            <c:showPercent val="1"/>
          </c:dLbls>
          <c:cat>
            <c:strRef>
              <c:f>'2012 Inventory'!$A$61:$A$66</c:f>
              <c:strCache>
                <c:ptCount val="6"/>
                <c:pt idx="0">
                  <c:v>Residential</c:v>
                </c:pt>
                <c:pt idx="1">
                  <c:v>Commercial</c:v>
                </c:pt>
                <c:pt idx="2">
                  <c:v>Industrial</c:v>
                </c:pt>
                <c:pt idx="3">
                  <c:v>Public Authority</c:v>
                </c:pt>
                <c:pt idx="4">
                  <c:v>Transportation</c:v>
                </c:pt>
                <c:pt idx="5">
                  <c:v>Water and Wastewater</c:v>
                </c:pt>
              </c:strCache>
            </c:strRef>
          </c:cat>
          <c:val>
            <c:numRef>
              <c:f>'2011 Inventory'!$B$61:$B$66</c:f>
              <c:numCache>
                <c:formatCode>_(* #,##0_);_(* \(#,##0\);_(* "-"??_);_(@_)</c:formatCode>
                <c:ptCount val="6"/>
                <c:pt idx="0">
                  <c:v>867273.39175524737</c:v>
                </c:pt>
                <c:pt idx="1">
                  <c:v>575502.04264550819</c:v>
                </c:pt>
                <c:pt idx="2">
                  <c:v>510205.1467330475</c:v>
                </c:pt>
                <c:pt idx="3">
                  <c:v>104556.9616782512</c:v>
                </c:pt>
                <c:pt idx="4">
                  <c:v>1024227.4518535171</c:v>
                </c:pt>
                <c:pt idx="5">
                  <c:v>7559.794082582107</c:v>
                </c:pt>
              </c:numCache>
            </c:numRef>
          </c:val>
        </c:ser>
        <c:dLbls>
          <c:showPercent val="1"/>
        </c:dLbls>
        <c:firstSliceAng val="0"/>
      </c:pieChart>
    </c:plotArea>
    <c:legend>
      <c:legendPos val="r"/>
      <c:txPr>
        <a:bodyPr/>
        <a:lstStyle/>
        <a:p>
          <a:pPr rtl="0">
            <a:defRPr/>
          </a:pPr>
          <a:endParaRPr lang="en-US"/>
        </a:p>
      </c:txPr>
    </c:legend>
    <c:plotVisOnly val="1"/>
  </c:chart>
  <c:spPr>
    <a:ln>
      <a:noFill/>
    </a:ln>
  </c:spPr>
  <c:printSettings>
    <c:headerFooter/>
    <c:pageMargins b="0.75000000000000089" l="0.70000000000000062" r="0.70000000000000062" t="0.75000000000000089"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GHG Emissions</a:t>
            </a:r>
          </a:p>
        </c:rich>
      </c:tx>
      <c:layout>
        <c:manualLayout>
          <c:xMode val="edge"/>
          <c:yMode val="edge"/>
          <c:x val="0.17013188976377952"/>
          <c:y val="5.5555555555555469E-2"/>
        </c:manualLayout>
      </c:layout>
    </c:title>
    <c:plotArea>
      <c:layout/>
      <c:pieChart>
        <c:varyColors val="1"/>
        <c:ser>
          <c:idx val="0"/>
          <c:order val="0"/>
          <c:tx>
            <c:strRef>
              <c:f>'2012 Inventory'!$C$60</c:f>
              <c:strCache>
                <c:ptCount val="1"/>
                <c:pt idx="0">
                  <c:v>Total Emissions (kg CO2-e)</c:v>
                </c:pt>
              </c:strCache>
            </c:strRef>
          </c:tx>
          <c:dLbls>
            <c:showPercent val="1"/>
          </c:dLbls>
          <c:cat>
            <c:strRef>
              <c:f>'2012 Inventory'!$A$61:$A$66</c:f>
              <c:strCache>
                <c:ptCount val="6"/>
                <c:pt idx="0">
                  <c:v>Residential</c:v>
                </c:pt>
                <c:pt idx="1">
                  <c:v>Commercial</c:v>
                </c:pt>
                <c:pt idx="2">
                  <c:v>Industrial</c:v>
                </c:pt>
                <c:pt idx="3">
                  <c:v>Public Authority</c:v>
                </c:pt>
                <c:pt idx="4">
                  <c:v>Transportation</c:v>
                </c:pt>
                <c:pt idx="5">
                  <c:v>Water and Wastewater</c:v>
                </c:pt>
              </c:strCache>
            </c:strRef>
          </c:cat>
          <c:val>
            <c:numRef>
              <c:f>'2011 Inventory'!$C$61:$C$66</c:f>
              <c:numCache>
                <c:formatCode>_(* #,##0_);_(* \(#,##0\);_(* "-"??_);_(@_)</c:formatCode>
                <c:ptCount val="6"/>
                <c:pt idx="0">
                  <c:v>136863945.18533784</c:v>
                </c:pt>
                <c:pt idx="1">
                  <c:v>94281834.761083379</c:v>
                </c:pt>
                <c:pt idx="2">
                  <c:v>64500573.057533503</c:v>
                </c:pt>
                <c:pt idx="3">
                  <c:v>14679948.610252166</c:v>
                </c:pt>
                <c:pt idx="4">
                  <c:v>76919061.384074286</c:v>
                </c:pt>
                <c:pt idx="5">
                  <c:v>10186155.057457197</c:v>
                </c:pt>
              </c:numCache>
            </c:numRef>
          </c:val>
        </c:ser>
        <c:dLbls>
          <c:showPercent val="1"/>
        </c:dLbls>
        <c:firstSliceAng val="0"/>
      </c:pieChart>
    </c:plotArea>
    <c:legend>
      <c:legendPos val="r"/>
    </c:legend>
    <c:plotVisOnly val="1"/>
  </c:chart>
  <c:spPr>
    <a:ln>
      <a:noFill/>
    </a:ln>
  </c:spPr>
  <c:printSettings>
    <c:headerFooter/>
    <c:pageMargins b="0.75000000000000089" l="0.70000000000000062" r="0.70000000000000062" t="0.75000000000000089"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GHG Emissions</a:t>
            </a:r>
          </a:p>
        </c:rich>
      </c:tx>
      <c:layout>
        <c:manualLayout>
          <c:xMode val="edge"/>
          <c:yMode val="edge"/>
          <c:x val="0.17013188976377952"/>
          <c:y val="5.5555555555555455E-2"/>
        </c:manualLayout>
      </c:layout>
    </c:title>
    <c:plotArea>
      <c:layout/>
      <c:pieChart>
        <c:varyColors val="1"/>
        <c:ser>
          <c:idx val="0"/>
          <c:order val="0"/>
          <c:tx>
            <c:strRef>
              <c:f>'2012 Inventory'!$C$60</c:f>
              <c:strCache>
                <c:ptCount val="1"/>
                <c:pt idx="0">
                  <c:v>Total Emissions (kg CO2-e)</c:v>
                </c:pt>
              </c:strCache>
            </c:strRef>
          </c:tx>
          <c:dLbls>
            <c:showPercent val="1"/>
          </c:dLbls>
          <c:cat>
            <c:strRef>
              <c:f>'2012 Inventory'!$A$70:$A$73</c:f>
              <c:strCache>
                <c:ptCount val="4"/>
                <c:pt idx="0">
                  <c:v>Natural Gas</c:v>
                </c:pt>
                <c:pt idx="1">
                  <c:v>Other Heating Fuels</c:v>
                </c:pt>
                <c:pt idx="2">
                  <c:v>Electricity</c:v>
                </c:pt>
                <c:pt idx="3">
                  <c:v>Transportation Fuels</c:v>
                </c:pt>
              </c:strCache>
            </c:strRef>
          </c:cat>
          <c:val>
            <c:numRef>
              <c:f>'2011 Inventory'!$C$70:$C$73</c:f>
              <c:numCache>
                <c:formatCode>_(* #,##0_);_(* \(#,##0\);_(* "-"??_);_(@_)</c:formatCode>
                <c:ptCount val="4"/>
                <c:pt idx="0">
                  <c:v>44150943.867367782</c:v>
                </c:pt>
                <c:pt idx="1">
                  <c:v>2845210.2640869566</c:v>
                </c:pt>
                <c:pt idx="2">
                  <c:v>264939764.75070864</c:v>
                </c:pt>
                <c:pt idx="3">
                  <c:v>76919061.384074286</c:v>
                </c:pt>
              </c:numCache>
            </c:numRef>
          </c:val>
        </c:ser>
        <c:dLbls>
          <c:showPercent val="1"/>
        </c:dLbls>
        <c:firstSliceAng val="0"/>
      </c:pieChart>
    </c:plotArea>
    <c:legend>
      <c:legendPos val="r"/>
    </c:legend>
    <c:plotVisOnly val="1"/>
  </c:chart>
  <c:spPr>
    <a:ln>
      <a:noFill/>
    </a:ln>
  </c:spPr>
  <c:printSettings>
    <c:headerFooter/>
    <c:pageMargins b="0.75000000000000111" l="0.70000000000000062" r="0.70000000000000062" t="0.75000000000000111"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Energy Use</a:t>
            </a:r>
          </a:p>
        </c:rich>
      </c:tx>
      <c:layout>
        <c:manualLayout>
          <c:xMode val="edge"/>
          <c:yMode val="edge"/>
          <c:x val="0.21831933508311499"/>
          <c:y val="4.1666666666666664E-2"/>
        </c:manualLayout>
      </c:layout>
    </c:title>
    <c:plotArea>
      <c:layout/>
      <c:pieChart>
        <c:varyColors val="1"/>
        <c:ser>
          <c:idx val="0"/>
          <c:order val="0"/>
          <c:tx>
            <c:strRef>
              <c:f>'2012 Inventory'!$B$60</c:f>
              <c:strCache>
                <c:ptCount val="1"/>
                <c:pt idx="0">
                  <c:v>Total Energy Use (MMBtu)</c:v>
                </c:pt>
              </c:strCache>
            </c:strRef>
          </c:tx>
          <c:dLbls>
            <c:dLbl>
              <c:idx val="1"/>
              <c:layout>
                <c:manualLayout>
                  <c:x val="4.4796336192021932E-3"/>
                  <c:y val="-2.3826188393117529E-3"/>
                </c:manualLayout>
              </c:layout>
              <c:showPercent val="1"/>
            </c:dLbl>
            <c:showPercent val="1"/>
          </c:dLbls>
          <c:cat>
            <c:strRef>
              <c:f>'2012 Inventory'!$A$70:$A$73</c:f>
              <c:strCache>
                <c:ptCount val="4"/>
                <c:pt idx="0">
                  <c:v>Natural Gas</c:v>
                </c:pt>
                <c:pt idx="1">
                  <c:v>Other Heating Fuels</c:v>
                </c:pt>
                <c:pt idx="2">
                  <c:v>Electricity</c:v>
                </c:pt>
                <c:pt idx="3">
                  <c:v>Transportation Fuels</c:v>
                </c:pt>
              </c:strCache>
            </c:strRef>
          </c:cat>
          <c:val>
            <c:numRef>
              <c:f>'2011 Inventory'!$B$70:$B$73</c:f>
              <c:numCache>
                <c:formatCode>_(* #,##0_);_(* \(#,##0\);_(* "-"??_);_(@_)</c:formatCode>
                <c:ptCount val="4"/>
                <c:pt idx="0">
                  <c:v>832717.81887560303</c:v>
                </c:pt>
                <c:pt idx="1">
                  <c:v>37754</c:v>
                </c:pt>
                <c:pt idx="2">
                  <c:v>1194625.5180190334</c:v>
                </c:pt>
                <c:pt idx="3">
                  <c:v>1024227.4518535171</c:v>
                </c:pt>
              </c:numCache>
            </c:numRef>
          </c:val>
        </c:ser>
        <c:dLbls>
          <c:showPercent val="1"/>
        </c:dLbls>
        <c:firstSliceAng val="0"/>
      </c:pieChart>
    </c:plotArea>
    <c:legend>
      <c:legendPos val="r"/>
      <c:layout>
        <c:manualLayout>
          <c:xMode val="edge"/>
          <c:yMode val="edge"/>
          <c:x val="0.52491483913389059"/>
          <c:y val="0.39500765529308873"/>
          <c:w val="0.43310979877515332"/>
          <c:h val="0.33486876640420021"/>
        </c:manualLayout>
      </c:layout>
      <c:txPr>
        <a:bodyPr/>
        <a:lstStyle/>
        <a:p>
          <a:pPr rtl="0">
            <a:defRPr/>
          </a:pPr>
          <a:endParaRPr lang="en-US"/>
        </a:p>
      </c:txPr>
    </c:legend>
    <c:plotVisOnly val="1"/>
  </c:chart>
  <c:spPr>
    <a:ln>
      <a:noFill/>
    </a:ln>
  </c:spPr>
  <c:printSettings>
    <c:headerFooter/>
    <c:pageMargins b="0.75000000000000111" l="0.70000000000000062" r="0.70000000000000062" t="0.7500000000000011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Emissions by Source (kg CO</a:t>
            </a:r>
            <a:r>
              <a:rPr lang="en-US" baseline="-25000"/>
              <a:t>2</a:t>
            </a:r>
            <a:r>
              <a:rPr lang="en-US" baseline="0"/>
              <a:t> eq)</a:t>
            </a:r>
            <a:endParaRPr lang="en-US"/>
          </a:p>
        </c:rich>
      </c:tx>
    </c:title>
    <c:plotArea>
      <c:layout/>
      <c:barChart>
        <c:barDir val="col"/>
        <c:grouping val="clustered"/>
        <c:ser>
          <c:idx val="0"/>
          <c:order val="0"/>
          <c:tx>
            <c:strRef>
              <c:f>'2010 Inventory'!$O$5</c:f>
              <c:strCache>
                <c:ptCount val="1"/>
                <c:pt idx="0">
                  <c:v>Total CO2 Equivalent Emissions (kg)</c:v>
                </c:pt>
              </c:strCache>
            </c:strRef>
          </c:tx>
          <c:cat>
            <c:strRef>
              <c:f>'2006 Inventory'!$AD$1:$AD$6</c:f>
              <c:strCache>
                <c:ptCount val="6"/>
                <c:pt idx="0">
                  <c:v>Natural Gas</c:v>
                </c:pt>
                <c:pt idx="1">
                  <c:v>Other Stationary Combustion</c:v>
                </c:pt>
                <c:pt idx="2">
                  <c:v>Electricity</c:v>
                </c:pt>
                <c:pt idx="3">
                  <c:v>Mobile Combustion</c:v>
                </c:pt>
                <c:pt idx="4">
                  <c:v>Water and Wastewater</c:v>
                </c:pt>
                <c:pt idx="5">
                  <c:v>Solid Waste</c:v>
                </c:pt>
              </c:strCache>
            </c:strRef>
          </c:cat>
          <c:val>
            <c:numRef>
              <c:f>('2010 Inventory'!$O$10,'2010 Inventory'!$O$17,'2010 Inventory'!$O$29,'2010 Inventory'!$O$41,'2010 Inventory'!$O$49,'2010 Inventory'!$O$56)</c:f>
              <c:numCache>
                <c:formatCode>_(* #,##0_);_(* \(#,##0\);_(* "-"??_);_(@_)</c:formatCode>
                <c:ptCount val="6"/>
                <c:pt idx="0">
                  <c:v>46618967.90539185</c:v>
                </c:pt>
                <c:pt idx="1">
                  <c:v>3044183.3840289852</c:v>
                </c:pt>
                <c:pt idx="2">
                  <c:v>280673186.45524067</c:v>
                </c:pt>
                <c:pt idx="3">
                  <c:v>77792564.635626316</c:v>
                </c:pt>
                <c:pt idx="4">
                  <c:v>8987619.2438628431</c:v>
                </c:pt>
                <c:pt idx="5">
                  <c:v>291486.06098917418</c:v>
                </c:pt>
              </c:numCache>
            </c:numRef>
          </c:val>
        </c:ser>
        <c:axId val="107300352"/>
        <c:axId val="107301888"/>
      </c:barChart>
      <c:catAx>
        <c:axId val="107300352"/>
        <c:scaling>
          <c:orientation val="minMax"/>
        </c:scaling>
        <c:axPos val="b"/>
        <c:tickLblPos val="nextTo"/>
        <c:crossAx val="107301888"/>
        <c:crosses val="autoZero"/>
        <c:auto val="1"/>
        <c:lblAlgn val="ctr"/>
        <c:lblOffset val="100"/>
      </c:catAx>
      <c:valAx>
        <c:axId val="107301888"/>
        <c:scaling>
          <c:orientation val="minMax"/>
        </c:scaling>
        <c:axPos val="l"/>
        <c:majorGridlines/>
        <c:numFmt formatCode="_(* #,##0_);_(* \(#,##0\);_(* &quot;-&quot;??_);_(@_)" sourceLinked="1"/>
        <c:tickLblPos val="nextTo"/>
        <c:crossAx val="107300352"/>
        <c:crosses val="autoZero"/>
        <c:crossBetween val="between"/>
      </c:valAx>
    </c:plotArea>
    <c:legend>
      <c:legendPos val="r"/>
      <c:txPr>
        <a:bodyPr/>
        <a:lstStyle/>
        <a:p>
          <a:pPr rtl="0">
            <a:defRPr/>
          </a:pPr>
          <a:endParaRPr lang="en-US"/>
        </a:p>
      </c:txPr>
    </c:legend>
    <c:plotVisOnly val="1"/>
  </c:chart>
  <c:printSettings>
    <c:headerFooter/>
    <c:pageMargins b="0.75000000000000289" l="0.70000000000000062" r="0.70000000000000062" t="0.7500000000000028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Total Emissions by Sector (kg CO2 eq)</a:t>
            </a:r>
          </a:p>
        </c:rich>
      </c:tx>
      <c:layout/>
    </c:title>
    <c:plotArea>
      <c:layout/>
      <c:lineChart>
        <c:grouping val="standard"/>
        <c:ser>
          <c:idx val="0"/>
          <c:order val="0"/>
          <c:tx>
            <c:strRef>
              <c:f>'2006 - 2012 Emissions Overview'!$B$60</c:f>
              <c:strCache>
                <c:ptCount val="1"/>
                <c:pt idx="0">
                  <c:v>Residential</c:v>
                </c:pt>
              </c:strCache>
            </c:strRef>
          </c:tx>
          <c:marker>
            <c:symbol val="none"/>
          </c:marker>
          <c:cat>
            <c:numRef>
              <c:f>'2006 - 2012 Emissions Overview'!$C$59:$I$59</c:f>
              <c:numCache>
                <c:formatCode>General</c:formatCode>
                <c:ptCount val="7"/>
                <c:pt idx="0">
                  <c:v>2006</c:v>
                </c:pt>
                <c:pt idx="1">
                  <c:v>2007</c:v>
                </c:pt>
                <c:pt idx="2">
                  <c:v>2008</c:v>
                </c:pt>
                <c:pt idx="3">
                  <c:v>2009</c:v>
                </c:pt>
                <c:pt idx="4">
                  <c:v>2010</c:v>
                </c:pt>
                <c:pt idx="5">
                  <c:v>2011</c:v>
                </c:pt>
                <c:pt idx="6">
                  <c:v>2012</c:v>
                </c:pt>
              </c:numCache>
            </c:numRef>
          </c:cat>
          <c:val>
            <c:numRef>
              <c:f>'2006 - 2012 Emissions Overview'!$C$60:$I$60</c:f>
              <c:numCache>
                <c:formatCode>_(* #,##0_);_(* \(#,##0\);_(* "-"??_);_(@_)</c:formatCode>
                <c:ptCount val="7"/>
                <c:pt idx="0">
                  <c:v>121672021.07073863</c:v>
                </c:pt>
                <c:pt idx="1">
                  <c:v>133427440.34729712</c:v>
                </c:pt>
                <c:pt idx="2">
                  <c:v>144677447.55252391</c:v>
                </c:pt>
                <c:pt idx="3">
                  <c:v>149931032.02489328</c:v>
                </c:pt>
                <c:pt idx="4">
                  <c:v>151678605.0253664</c:v>
                </c:pt>
                <c:pt idx="5">
                  <c:v>136863945.18533784</c:v>
                </c:pt>
                <c:pt idx="6">
                  <c:v>123251470.71081419</c:v>
                </c:pt>
              </c:numCache>
            </c:numRef>
          </c:val>
        </c:ser>
        <c:ser>
          <c:idx val="1"/>
          <c:order val="1"/>
          <c:tx>
            <c:strRef>
              <c:f>'2006 - 2012 Emissions Overview'!$B$61</c:f>
              <c:strCache>
                <c:ptCount val="1"/>
                <c:pt idx="0">
                  <c:v>Commercial</c:v>
                </c:pt>
              </c:strCache>
            </c:strRef>
          </c:tx>
          <c:marker>
            <c:symbol val="none"/>
          </c:marker>
          <c:cat>
            <c:numRef>
              <c:f>'2006 - 2012 Emissions Overview'!$C$59:$I$59</c:f>
              <c:numCache>
                <c:formatCode>General</c:formatCode>
                <c:ptCount val="7"/>
                <c:pt idx="0">
                  <c:v>2006</c:v>
                </c:pt>
                <c:pt idx="1">
                  <c:v>2007</c:v>
                </c:pt>
                <c:pt idx="2">
                  <c:v>2008</c:v>
                </c:pt>
                <c:pt idx="3">
                  <c:v>2009</c:v>
                </c:pt>
                <c:pt idx="4">
                  <c:v>2010</c:v>
                </c:pt>
                <c:pt idx="5">
                  <c:v>2011</c:v>
                </c:pt>
                <c:pt idx="6">
                  <c:v>2012</c:v>
                </c:pt>
              </c:numCache>
            </c:numRef>
          </c:cat>
          <c:val>
            <c:numRef>
              <c:f>'2006 - 2012 Emissions Overview'!$C$61:$I$61</c:f>
              <c:numCache>
                <c:formatCode>_(* #,##0_);_(* \(#,##0\);_(* "-"??_);_(@_)</c:formatCode>
                <c:ptCount val="7"/>
                <c:pt idx="0">
                  <c:v>61173438.77153001</c:v>
                </c:pt>
                <c:pt idx="1">
                  <c:v>71525823.776688173</c:v>
                </c:pt>
                <c:pt idx="2">
                  <c:v>91860363.224598333</c:v>
                </c:pt>
                <c:pt idx="3">
                  <c:v>99840118.51864925</c:v>
                </c:pt>
                <c:pt idx="4">
                  <c:v>99611533.8612957</c:v>
                </c:pt>
                <c:pt idx="5">
                  <c:v>94281834.761083379</c:v>
                </c:pt>
                <c:pt idx="6">
                  <c:v>89539088.600648433</c:v>
                </c:pt>
              </c:numCache>
            </c:numRef>
          </c:val>
        </c:ser>
        <c:ser>
          <c:idx val="2"/>
          <c:order val="2"/>
          <c:tx>
            <c:strRef>
              <c:f>'2006 - 2012 Emissions Overview'!$B$62</c:f>
              <c:strCache>
                <c:ptCount val="1"/>
                <c:pt idx="0">
                  <c:v>Industrial</c:v>
                </c:pt>
              </c:strCache>
            </c:strRef>
          </c:tx>
          <c:marker>
            <c:symbol val="none"/>
          </c:marker>
          <c:cat>
            <c:numRef>
              <c:f>'2006 - 2012 Emissions Overview'!$C$59:$I$59</c:f>
              <c:numCache>
                <c:formatCode>General</c:formatCode>
                <c:ptCount val="7"/>
                <c:pt idx="0">
                  <c:v>2006</c:v>
                </c:pt>
                <c:pt idx="1">
                  <c:v>2007</c:v>
                </c:pt>
                <c:pt idx="2">
                  <c:v>2008</c:v>
                </c:pt>
                <c:pt idx="3">
                  <c:v>2009</c:v>
                </c:pt>
                <c:pt idx="4">
                  <c:v>2010</c:v>
                </c:pt>
                <c:pt idx="5">
                  <c:v>2011</c:v>
                </c:pt>
                <c:pt idx="6">
                  <c:v>2012</c:v>
                </c:pt>
              </c:numCache>
            </c:numRef>
          </c:cat>
          <c:val>
            <c:numRef>
              <c:f>'2006 - 2012 Emissions Overview'!$C$62:$I$62</c:f>
              <c:numCache>
                <c:formatCode>_(* #,##0_);_(* \(#,##0\);_(* "-"??_);_(@_)</c:formatCode>
                <c:ptCount val="7"/>
                <c:pt idx="0">
                  <c:v>40402692.28173209</c:v>
                </c:pt>
                <c:pt idx="1">
                  <c:v>39322970.433456093</c:v>
                </c:pt>
                <c:pt idx="2">
                  <c:v>58118793.076462135</c:v>
                </c:pt>
                <c:pt idx="3">
                  <c:v>51344304.965782188</c:v>
                </c:pt>
                <c:pt idx="4">
                  <c:v>63594958.241846211</c:v>
                </c:pt>
                <c:pt idx="5">
                  <c:v>64500573.057533503</c:v>
                </c:pt>
                <c:pt idx="6">
                  <c:v>66711181.004970886</c:v>
                </c:pt>
              </c:numCache>
            </c:numRef>
          </c:val>
        </c:ser>
        <c:ser>
          <c:idx val="3"/>
          <c:order val="3"/>
          <c:tx>
            <c:strRef>
              <c:f>'2006 - 2012 Emissions Overview'!$B$63</c:f>
              <c:strCache>
                <c:ptCount val="1"/>
                <c:pt idx="0">
                  <c:v>Public Authority</c:v>
                </c:pt>
              </c:strCache>
            </c:strRef>
          </c:tx>
          <c:marker>
            <c:symbol val="none"/>
          </c:marker>
          <c:cat>
            <c:numRef>
              <c:f>'2006 - 2012 Emissions Overview'!$C$59:$I$59</c:f>
              <c:numCache>
                <c:formatCode>General</c:formatCode>
                <c:ptCount val="7"/>
                <c:pt idx="0">
                  <c:v>2006</c:v>
                </c:pt>
                <c:pt idx="1">
                  <c:v>2007</c:v>
                </c:pt>
                <c:pt idx="2">
                  <c:v>2008</c:v>
                </c:pt>
                <c:pt idx="3">
                  <c:v>2009</c:v>
                </c:pt>
                <c:pt idx="4">
                  <c:v>2010</c:v>
                </c:pt>
                <c:pt idx="5">
                  <c:v>2011</c:v>
                </c:pt>
                <c:pt idx="6">
                  <c:v>2012</c:v>
                </c:pt>
              </c:numCache>
            </c:numRef>
          </c:cat>
          <c:val>
            <c:numRef>
              <c:f>'2006 - 2012 Emissions Overview'!$C$63:$I$63</c:f>
              <c:numCache>
                <c:formatCode>_(* #,##0_);_(* \(#,##0\);_(* "-"??_);_(@_)</c:formatCode>
                <c:ptCount val="7"/>
                <c:pt idx="0">
                  <c:v>14886079.559028149</c:v>
                </c:pt>
                <c:pt idx="1">
                  <c:v>15417705.555392269</c:v>
                </c:pt>
                <c:pt idx="2">
                  <c:v>16361154.854524625</c:v>
                </c:pt>
                <c:pt idx="3">
                  <c:v>16979792.201208528</c:v>
                </c:pt>
                <c:pt idx="4">
                  <c:v>15451240.616153196</c:v>
                </c:pt>
                <c:pt idx="5">
                  <c:v>14679948.610252166</c:v>
                </c:pt>
                <c:pt idx="6">
                  <c:v>12984481.14914272</c:v>
                </c:pt>
              </c:numCache>
            </c:numRef>
          </c:val>
        </c:ser>
        <c:ser>
          <c:idx val="4"/>
          <c:order val="4"/>
          <c:tx>
            <c:strRef>
              <c:f>'2006 - 2012 Emissions Overview'!$B$64</c:f>
              <c:strCache>
                <c:ptCount val="1"/>
                <c:pt idx="0">
                  <c:v>Transportation</c:v>
                </c:pt>
              </c:strCache>
            </c:strRef>
          </c:tx>
          <c:marker>
            <c:symbol val="none"/>
          </c:marker>
          <c:cat>
            <c:numRef>
              <c:f>'2006 - 2012 Emissions Overview'!$C$59:$I$59</c:f>
              <c:numCache>
                <c:formatCode>General</c:formatCode>
                <c:ptCount val="7"/>
                <c:pt idx="0">
                  <c:v>2006</c:v>
                </c:pt>
                <c:pt idx="1">
                  <c:v>2007</c:v>
                </c:pt>
                <c:pt idx="2">
                  <c:v>2008</c:v>
                </c:pt>
                <c:pt idx="3">
                  <c:v>2009</c:v>
                </c:pt>
                <c:pt idx="4">
                  <c:v>2010</c:v>
                </c:pt>
                <c:pt idx="5">
                  <c:v>2011</c:v>
                </c:pt>
                <c:pt idx="6">
                  <c:v>2012</c:v>
                </c:pt>
              </c:numCache>
            </c:numRef>
          </c:cat>
          <c:val>
            <c:numRef>
              <c:f>'2006 - 2012 Emissions Overview'!$C$64:$I$64</c:f>
              <c:numCache>
                <c:formatCode>_(* #,##0_);_(* \(#,##0\);_(* "-"??_);_(@_)</c:formatCode>
                <c:ptCount val="7"/>
                <c:pt idx="0">
                  <c:v>76464750.030301511</c:v>
                </c:pt>
                <c:pt idx="1">
                  <c:v>78758389.813231692</c:v>
                </c:pt>
                <c:pt idx="2">
                  <c:v>77426420.934875056</c:v>
                </c:pt>
                <c:pt idx="3">
                  <c:v>82200877.30370383</c:v>
                </c:pt>
                <c:pt idx="4">
                  <c:v>77792564.635626316</c:v>
                </c:pt>
                <c:pt idx="5">
                  <c:v>76919061.384074286</c:v>
                </c:pt>
                <c:pt idx="6">
                  <c:v>73940755.826632604</c:v>
                </c:pt>
              </c:numCache>
            </c:numRef>
          </c:val>
        </c:ser>
        <c:ser>
          <c:idx val="5"/>
          <c:order val="5"/>
          <c:tx>
            <c:strRef>
              <c:f>'2006 - 2012 Emissions Overview'!$B$65</c:f>
              <c:strCache>
                <c:ptCount val="1"/>
                <c:pt idx="0">
                  <c:v>Wastewater and Water</c:v>
                </c:pt>
              </c:strCache>
            </c:strRef>
          </c:tx>
          <c:marker>
            <c:symbol val="none"/>
          </c:marker>
          <c:val>
            <c:numRef>
              <c:f>'2006 - 2012 Emissions Overview'!$C$65:$I$65</c:f>
              <c:numCache>
                <c:formatCode>_(* #,##0_);_(* \(#,##0\);_(* "-"??_);_(@_)</c:formatCode>
                <c:ptCount val="7"/>
                <c:pt idx="0">
                  <c:v>10072884.603794655</c:v>
                </c:pt>
                <c:pt idx="1">
                  <c:v>9933288.0911309812</c:v>
                </c:pt>
                <c:pt idx="2">
                  <c:v>9692616.9059695303</c:v>
                </c:pt>
                <c:pt idx="3">
                  <c:v>9326316.1202911213</c:v>
                </c:pt>
                <c:pt idx="4">
                  <c:v>8987619.2438628431</c:v>
                </c:pt>
                <c:pt idx="5">
                  <c:v>10186155.057457197</c:v>
                </c:pt>
                <c:pt idx="6">
                  <c:v>11847231.803672438</c:v>
                </c:pt>
              </c:numCache>
            </c:numRef>
          </c:val>
        </c:ser>
        <c:ser>
          <c:idx val="6"/>
          <c:order val="6"/>
          <c:tx>
            <c:strRef>
              <c:f>'2006 - 2012 Emissions Overview'!$B$66</c:f>
              <c:strCache>
                <c:ptCount val="1"/>
                <c:pt idx="0">
                  <c:v>Solid Waste</c:v>
                </c:pt>
              </c:strCache>
            </c:strRef>
          </c:tx>
          <c:marker>
            <c:symbol val="none"/>
          </c:marker>
          <c:val>
            <c:numRef>
              <c:f>'2006 - 2012 Emissions Overview'!$C$66:$I$66</c:f>
              <c:numCache>
                <c:formatCode>_(* #,##0_);_(* \(#,##0\);_(* "-"??_);_(@_)</c:formatCode>
                <c:ptCount val="7"/>
                <c:pt idx="0">
                  <c:v>311391.62863413378</c:v>
                </c:pt>
                <c:pt idx="1">
                  <c:v>332726.53831285721</c:v>
                </c:pt>
                <c:pt idx="2">
                  <c:v>283564.66394065536</c:v>
                </c:pt>
                <c:pt idx="3">
                  <c:v>285162.71701896453</c:v>
                </c:pt>
                <c:pt idx="4">
                  <c:v>291486.06098917418</c:v>
                </c:pt>
                <c:pt idx="5">
                  <c:v>290993.94020264794</c:v>
                </c:pt>
                <c:pt idx="6">
                  <c:v>300883.76297652099</c:v>
                </c:pt>
              </c:numCache>
            </c:numRef>
          </c:val>
        </c:ser>
        <c:marker val="1"/>
        <c:axId val="104283136"/>
        <c:axId val="104301312"/>
      </c:lineChart>
      <c:catAx>
        <c:axId val="104283136"/>
        <c:scaling>
          <c:orientation val="minMax"/>
        </c:scaling>
        <c:axPos val="b"/>
        <c:numFmt formatCode="General" sourceLinked="1"/>
        <c:tickLblPos val="nextTo"/>
        <c:crossAx val="104301312"/>
        <c:crosses val="autoZero"/>
        <c:auto val="1"/>
        <c:lblAlgn val="ctr"/>
        <c:lblOffset val="100"/>
      </c:catAx>
      <c:valAx>
        <c:axId val="104301312"/>
        <c:scaling>
          <c:orientation val="minMax"/>
        </c:scaling>
        <c:axPos val="l"/>
        <c:majorGridlines/>
        <c:numFmt formatCode="_(* #,##0_);_(* \(#,##0\);_(* &quot;-&quot;??_);_(@_)" sourceLinked="1"/>
        <c:tickLblPos val="nextTo"/>
        <c:crossAx val="104283136"/>
        <c:crosses val="autoZero"/>
        <c:crossBetween val="between"/>
      </c:valAx>
    </c:plotArea>
    <c:legend>
      <c:legendPos val="r"/>
      <c:layout/>
    </c:legend>
    <c:plotVisOnly val="1"/>
  </c:chart>
  <c:printSettings>
    <c:headerFooter/>
    <c:pageMargins b="0.75000000000000244" l="0.70000000000000062" r="0.70000000000000062" t="0.75000000000000244"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a:t>Emissions by Sector </a:t>
            </a:r>
            <a:r>
              <a:rPr lang="en-US" sz="1800" b="1" i="0" baseline="0"/>
              <a:t>(kg CO</a:t>
            </a:r>
            <a:r>
              <a:rPr lang="en-US" sz="1800" b="1" i="0" baseline="-25000"/>
              <a:t>2</a:t>
            </a:r>
            <a:r>
              <a:rPr lang="en-US" sz="1800" b="1" i="0" baseline="0"/>
              <a:t> eq)</a:t>
            </a:r>
          </a:p>
        </c:rich>
      </c:tx>
    </c:title>
    <c:plotArea>
      <c:layout/>
      <c:barChart>
        <c:barDir val="col"/>
        <c:grouping val="clustered"/>
        <c:ser>
          <c:idx val="0"/>
          <c:order val="0"/>
          <c:tx>
            <c:strRef>
              <c:f>'2010 Inventory'!$B$60</c:f>
              <c:strCache>
                <c:ptCount val="1"/>
                <c:pt idx="0">
                  <c:v>Total Energy Use (MMBtu)</c:v>
                </c:pt>
              </c:strCache>
            </c:strRef>
          </c:tx>
          <c:cat>
            <c:strRef>
              <c:f>'2012 Inventory'!$A$61:$A$67</c:f>
              <c:strCache>
                <c:ptCount val="7"/>
                <c:pt idx="0">
                  <c:v>Residential</c:v>
                </c:pt>
                <c:pt idx="1">
                  <c:v>Commercial</c:v>
                </c:pt>
                <c:pt idx="2">
                  <c:v>Industrial</c:v>
                </c:pt>
                <c:pt idx="3">
                  <c:v>Public Authority</c:v>
                </c:pt>
                <c:pt idx="4">
                  <c:v>Transportation</c:v>
                </c:pt>
                <c:pt idx="5">
                  <c:v>Water and Wastewater</c:v>
                </c:pt>
                <c:pt idx="6">
                  <c:v>Solid Waste</c:v>
                </c:pt>
              </c:strCache>
            </c:strRef>
          </c:cat>
          <c:val>
            <c:numRef>
              <c:f>'2010 Inventory'!$B$61:$B$67</c:f>
              <c:numCache>
                <c:formatCode>_(* #,##0_);_(* \(#,##0\);_(* "-"??_);_(@_)</c:formatCode>
                <c:ptCount val="7"/>
                <c:pt idx="0">
                  <c:v>957273.58369880752</c:v>
                </c:pt>
                <c:pt idx="1">
                  <c:v>608675.11525736633</c:v>
                </c:pt>
                <c:pt idx="2">
                  <c:v>492087.18428196176</c:v>
                </c:pt>
                <c:pt idx="3">
                  <c:v>105237.58418972719</c:v>
                </c:pt>
                <c:pt idx="4">
                  <c:v>1035866.2343751689</c:v>
                </c:pt>
                <c:pt idx="5">
                  <c:v>6670.2843607818195</c:v>
                </c:pt>
              </c:numCache>
            </c:numRef>
          </c:val>
        </c:ser>
        <c:axId val="107353600"/>
        <c:axId val="107355136"/>
      </c:barChart>
      <c:catAx>
        <c:axId val="107353600"/>
        <c:scaling>
          <c:orientation val="minMax"/>
        </c:scaling>
        <c:axPos val="b"/>
        <c:tickLblPos val="nextTo"/>
        <c:crossAx val="107355136"/>
        <c:crosses val="autoZero"/>
        <c:auto val="1"/>
        <c:lblAlgn val="ctr"/>
        <c:lblOffset val="100"/>
      </c:catAx>
      <c:valAx>
        <c:axId val="107355136"/>
        <c:scaling>
          <c:orientation val="minMax"/>
        </c:scaling>
        <c:axPos val="l"/>
        <c:majorGridlines/>
        <c:numFmt formatCode="_(* #,##0_);_(* \(#,##0\);_(* &quot;-&quot;??_);_(@_)" sourceLinked="1"/>
        <c:tickLblPos val="nextTo"/>
        <c:crossAx val="107353600"/>
        <c:crosses val="autoZero"/>
        <c:crossBetween val="between"/>
      </c:valAx>
    </c:plotArea>
    <c:legend>
      <c:legendPos val="r"/>
    </c:legend>
    <c:plotVisOnly val="1"/>
  </c:chart>
  <c:printSettings>
    <c:headerFooter/>
    <c:pageMargins b="0.75000000000000289" l="0.70000000000000062" r="0.70000000000000062" t="0.75000000000000289"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Emissions by Source (kg CO</a:t>
            </a:r>
            <a:r>
              <a:rPr lang="en-US" baseline="-25000"/>
              <a:t>2</a:t>
            </a:r>
            <a:r>
              <a:rPr lang="en-US" baseline="0"/>
              <a:t> eq)</a:t>
            </a:r>
            <a:endParaRPr lang="en-US"/>
          </a:p>
        </c:rich>
      </c:tx>
    </c:title>
    <c:plotArea>
      <c:layout/>
      <c:barChart>
        <c:barDir val="col"/>
        <c:grouping val="clustered"/>
        <c:ser>
          <c:idx val="0"/>
          <c:order val="0"/>
          <c:tx>
            <c:strRef>
              <c:f>'2009 Inventory'!$O$20</c:f>
              <c:strCache>
                <c:ptCount val="1"/>
                <c:pt idx="0">
                  <c:v>Total CO2 Equivalent Emissions (kg)</c:v>
                </c:pt>
              </c:strCache>
            </c:strRef>
          </c:tx>
          <c:cat>
            <c:strRef>
              <c:f>'2006 Inventory'!$AD$1:$AD$6</c:f>
              <c:strCache>
                <c:ptCount val="6"/>
                <c:pt idx="0">
                  <c:v>Natural Gas</c:v>
                </c:pt>
                <c:pt idx="1">
                  <c:v>Other Stationary Combustion</c:v>
                </c:pt>
                <c:pt idx="2">
                  <c:v>Electricity</c:v>
                </c:pt>
                <c:pt idx="3">
                  <c:v>Mobile Combustion</c:v>
                </c:pt>
                <c:pt idx="4">
                  <c:v>Water and Wastewater</c:v>
                </c:pt>
                <c:pt idx="5">
                  <c:v>Solid Waste</c:v>
                </c:pt>
              </c:strCache>
            </c:strRef>
          </c:cat>
          <c:val>
            <c:numRef>
              <c:f>('2009 Inventory'!$O$10,'2009 Inventory'!$O$17,'2009 Inventory'!$O$29,'2009 Inventory'!$O$41,'2009 Inventory'!$O$49,'2009 Inventory'!$O$56)</c:f>
              <c:numCache>
                <c:formatCode>_(* #,##0_);_(* \(#,##0\);_(* "-"??_);_(@_)</c:formatCode>
                <c:ptCount val="6"/>
                <c:pt idx="0">
                  <c:v>41914927.616066188</c:v>
                </c:pt>
                <c:pt idx="1">
                  <c:v>2544939.8542318833</c:v>
                </c:pt>
                <c:pt idx="2">
                  <c:v>273635380.24023521</c:v>
                </c:pt>
                <c:pt idx="3">
                  <c:v>82200877.30370383</c:v>
                </c:pt>
                <c:pt idx="4">
                  <c:v>9326316.1202911213</c:v>
                </c:pt>
                <c:pt idx="5">
                  <c:v>285162.71701896453</c:v>
                </c:pt>
              </c:numCache>
            </c:numRef>
          </c:val>
        </c:ser>
        <c:axId val="107487616"/>
        <c:axId val="107489152"/>
      </c:barChart>
      <c:catAx>
        <c:axId val="107487616"/>
        <c:scaling>
          <c:orientation val="minMax"/>
        </c:scaling>
        <c:axPos val="b"/>
        <c:tickLblPos val="nextTo"/>
        <c:crossAx val="107489152"/>
        <c:crosses val="autoZero"/>
        <c:auto val="1"/>
        <c:lblAlgn val="ctr"/>
        <c:lblOffset val="100"/>
      </c:catAx>
      <c:valAx>
        <c:axId val="107489152"/>
        <c:scaling>
          <c:orientation val="minMax"/>
        </c:scaling>
        <c:axPos val="l"/>
        <c:majorGridlines/>
        <c:numFmt formatCode="_(* #,##0_);_(* \(#,##0\);_(* &quot;-&quot;??_);_(@_)" sourceLinked="1"/>
        <c:tickLblPos val="nextTo"/>
        <c:crossAx val="107487616"/>
        <c:crosses val="autoZero"/>
        <c:crossBetween val="between"/>
      </c:valAx>
    </c:plotArea>
    <c:legend>
      <c:legendPos val="r"/>
      <c:txPr>
        <a:bodyPr/>
        <a:lstStyle/>
        <a:p>
          <a:pPr rtl="0">
            <a:defRPr/>
          </a:pPr>
          <a:endParaRPr lang="en-US"/>
        </a:p>
      </c:txPr>
    </c:legend>
    <c:plotVisOnly val="1"/>
  </c:chart>
  <c:printSettings>
    <c:headerFooter/>
    <c:pageMargins b="0.75000000000000289" l="0.70000000000000062" r="0.70000000000000062" t="0.75000000000000289"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a:t>Emissions by Sector </a:t>
            </a:r>
            <a:r>
              <a:rPr lang="en-US" sz="1800" b="1" i="0" baseline="0"/>
              <a:t>(kg CO</a:t>
            </a:r>
            <a:r>
              <a:rPr lang="en-US" sz="1800" b="1" i="0" baseline="-25000"/>
              <a:t>2</a:t>
            </a:r>
            <a:r>
              <a:rPr lang="en-US" sz="1800" b="1" i="0" baseline="0"/>
              <a:t> eq)</a:t>
            </a:r>
          </a:p>
        </c:rich>
      </c:tx>
    </c:title>
    <c:plotArea>
      <c:layout/>
      <c:barChart>
        <c:barDir val="col"/>
        <c:grouping val="clustered"/>
        <c:ser>
          <c:idx val="0"/>
          <c:order val="0"/>
          <c:tx>
            <c:strRef>
              <c:f>'2012 Inventory'!$C$60</c:f>
              <c:strCache>
                <c:ptCount val="1"/>
                <c:pt idx="0">
                  <c:v>Total Emissions (kg CO2-e)</c:v>
                </c:pt>
              </c:strCache>
            </c:strRef>
          </c:tx>
          <c:cat>
            <c:strRef>
              <c:f>'2012 Inventory'!$A$61:$A$67</c:f>
              <c:strCache>
                <c:ptCount val="7"/>
                <c:pt idx="0">
                  <c:v>Residential</c:v>
                </c:pt>
                <c:pt idx="1">
                  <c:v>Commercial</c:v>
                </c:pt>
                <c:pt idx="2">
                  <c:v>Industrial</c:v>
                </c:pt>
                <c:pt idx="3">
                  <c:v>Public Authority</c:v>
                </c:pt>
                <c:pt idx="4">
                  <c:v>Transportation</c:v>
                </c:pt>
                <c:pt idx="5">
                  <c:v>Water and Wastewater</c:v>
                </c:pt>
                <c:pt idx="6">
                  <c:v>Solid Waste</c:v>
                </c:pt>
              </c:strCache>
            </c:strRef>
          </c:cat>
          <c:val>
            <c:numRef>
              <c:f>'2009 Inventory'!$B$61:$B$67</c:f>
              <c:numCache>
                <c:formatCode>_(* #,##0_);_(* \(#,##0\);_(* "-"??_);_(@_)</c:formatCode>
                <c:ptCount val="7"/>
                <c:pt idx="0">
                  <c:v>888917.71402969281</c:v>
                </c:pt>
                <c:pt idx="1">
                  <c:v>573197.86059438996</c:v>
                </c:pt>
                <c:pt idx="2">
                  <c:v>377693.05085242179</c:v>
                </c:pt>
                <c:pt idx="3">
                  <c:v>105972.9735859072</c:v>
                </c:pt>
                <c:pt idx="4">
                  <c:v>1094602.1599864054</c:v>
                </c:pt>
                <c:pt idx="5">
                  <c:v>6921.6528730191258</c:v>
                </c:pt>
              </c:numCache>
            </c:numRef>
          </c:val>
        </c:ser>
        <c:axId val="107524480"/>
        <c:axId val="107526016"/>
      </c:barChart>
      <c:catAx>
        <c:axId val="107524480"/>
        <c:scaling>
          <c:orientation val="minMax"/>
        </c:scaling>
        <c:axPos val="b"/>
        <c:tickLblPos val="nextTo"/>
        <c:crossAx val="107526016"/>
        <c:crosses val="autoZero"/>
        <c:auto val="1"/>
        <c:lblAlgn val="ctr"/>
        <c:lblOffset val="100"/>
      </c:catAx>
      <c:valAx>
        <c:axId val="107526016"/>
        <c:scaling>
          <c:orientation val="minMax"/>
        </c:scaling>
        <c:axPos val="l"/>
        <c:majorGridlines/>
        <c:numFmt formatCode="_(* #,##0_);_(* \(#,##0\);_(* &quot;-&quot;??_);_(@_)" sourceLinked="1"/>
        <c:tickLblPos val="nextTo"/>
        <c:crossAx val="107524480"/>
        <c:crosses val="autoZero"/>
        <c:crossBetween val="between"/>
      </c:valAx>
    </c:plotArea>
    <c:legend>
      <c:legendPos val="r"/>
    </c:legend>
    <c:plotVisOnly val="1"/>
  </c:chart>
  <c:printSettings>
    <c:headerFooter/>
    <c:pageMargins b="0.75000000000000289" l="0.70000000000000062" r="0.70000000000000062" t="0.75000000000000289"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Emissions by Source (kg CO</a:t>
            </a:r>
            <a:r>
              <a:rPr lang="en-US" baseline="-25000"/>
              <a:t>2</a:t>
            </a:r>
            <a:r>
              <a:rPr lang="en-US" baseline="0"/>
              <a:t> eq)</a:t>
            </a:r>
            <a:endParaRPr lang="en-US"/>
          </a:p>
        </c:rich>
      </c:tx>
    </c:title>
    <c:plotArea>
      <c:layout/>
      <c:barChart>
        <c:barDir val="col"/>
        <c:grouping val="clustered"/>
        <c:ser>
          <c:idx val="0"/>
          <c:order val="0"/>
          <c:tx>
            <c:strRef>
              <c:f>'2008 Inventory'!$O$20</c:f>
              <c:strCache>
                <c:ptCount val="1"/>
                <c:pt idx="0">
                  <c:v>Total CO2 Equivalent Emissions (kg)</c:v>
                </c:pt>
              </c:strCache>
            </c:strRef>
          </c:tx>
          <c:cat>
            <c:strRef>
              <c:f>'2006 Inventory'!$AD$1:$AD$6</c:f>
              <c:strCache>
                <c:ptCount val="6"/>
                <c:pt idx="0">
                  <c:v>Natural Gas</c:v>
                </c:pt>
                <c:pt idx="1">
                  <c:v>Other Stationary Combustion</c:v>
                </c:pt>
                <c:pt idx="2">
                  <c:v>Electricity</c:v>
                </c:pt>
                <c:pt idx="3">
                  <c:v>Mobile Combustion</c:v>
                </c:pt>
                <c:pt idx="4">
                  <c:v>Water and Wastewater</c:v>
                </c:pt>
                <c:pt idx="5">
                  <c:v>Solid Waste</c:v>
                </c:pt>
              </c:strCache>
            </c:strRef>
          </c:cat>
          <c:val>
            <c:numRef>
              <c:f>('2008 Inventory'!$O$10,'2008 Inventory'!$O$17,'2008 Inventory'!$O$29,'2008 Inventory'!$O$41,'2008 Inventory'!$O$49,'2008 Inventory'!$O$56)</c:f>
              <c:numCache>
                <c:formatCode>_(* #,##0_);_(* \(#,##0\);_(* "-"??_);_(@_)</c:formatCode>
                <c:ptCount val="6"/>
                <c:pt idx="0">
                  <c:v>44722892.56129697</c:v>
                </c:pt>
                <c:pt idx="1">
                  <c:v>2544939.8542318833</c:v>
                </c:pt>
                <c:pt idx="2">
                  <c:v>263749926.29258016</c:v>
                </c:pt>
                <c:pt idx="3">
                  <c:v>77426420.934875056</c:v>
                </c:pt>
                <c:pt idx="4">
                  <c:v>9692616.9059695303</c:v>
                </c:pt>
                <c:pt idx="5">
                  <c:v>283564.66394065536</c:v>
                </c:pt>
              </c:numCache>
            </c:numRef>
          </c:val>
        </c:ser>
        <c:axId val="107416576"/>
        <c:axId val="107426560"/>
      </c:barChart>
      <c:catAx>
        <c:axId val="107416576"/>
        <c:scaling>
          <c:orientation val="minMax"/>
        </c:scaling>
        <c:axPos val="b"/>
        <c:tickLblPos val="nextTo"/>
        <c:crossAx val="107426560"/>
        <c:crosses val="autoZero"/>
        <c:auto val="1"/>
        <c:lblAlgn val="ctr"/>
        <c:lblOffset val="100"/>
      </c:catAx>
      <c:valAx>
        <c:axId val="107426560"/>
        <c:scaling>
          <c:orientation val="minMax"/>
        </c:scaling>
        <c:axPos val="l"/>
        <c:majorGridlines/>
        <c:numFmt formatCode="_(* #,##0_);_(* \(#,##0\);_(* &quot;-&quot;??_);_(@_)" sourceLinked="1"/>
        <c:tickLblPos val="nextTo"/>
        <c:crossAx val="107416576"/>
        <c:crosses val="autoZero"/>
        <c:crossBetween val="between"/>
      </c:valAx>
    </c:plotArea>
    <c:legend>
      <c:legendPos val="r"/>
      <c:txPr>
        <a:bodyPr/>
        <a:lstStyle/>
        <a:p>
          <a:pPr rtl="0">
            <a:defRPr/>
          </a:pPr>
          <a:endParaRPr lang="en-US"/>
        </a:p>
      </c:txPr>
    </c:legend>
    <c:plotVisOnly val="1"/>
  </c:chart>
  <c:printSettings>
    <c:headerFooter/>
    <c:pageMargins b="0.75000000000000289" l="0.70000000000000062" r="0.70000000000000062" t="0.75000000000000289"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a:t>Emissions by Sector </a:t>
            </a:r>
            <a:r>
              <a:rPr lang="en-US" sz="1800" b="1" i="0" baseline="0"/>
              <a:t>(kg CO</a:t>
            </a:r>
            <a:r>
              <a:rPr lang="en-US" sz="1800" b="1" i="0" baseline="-25000"/>
              <a:t>2</a:t>
            </a:r>
            <a:r>
              <a:rPr lang="en-US" sz="1800" b="1" i="0" baseline="0"/>
              <a:t> eq)</a:t>
            </a:r>
          </a:p>
        </c:rich>
      </c:tx>
    </c:title>
    <c:plotArea>
      <c:layout/>
      <c:barChart>
        <c:barDir val="col"/>
        <c:grouping val="clustered"/>
        <c:ser>
          <c:idx val="0"/>
          <c:order val="0"/>
          <c:tx>
            <c:strRef>
              <c:f>'2008 Inventory'!$O$32</c:f>
              <c:strCache>
                <c:ptCount val="1"/>
                <c:pt idx="0">
                  <c:v>Total CO2 Equivalent Emissions (kg)</c:v>
                </c:pt>
              </c:strCache>
            </c:strRef>
          </c:tx>
          <c:cat>
            <c:strRef>
              <c:f>'2012 Inventory'!$A$61:$A$67</c:f>
              <c:strCache>
                <c:ptCount val="7"/>
                <c:pt idx="0">
                  <c:v>Residential</c:v>
                </c:pt>
                <c:pt idx="1">
                  <c:v>Commercial</c:v>
                </c:pt>
                <c:pt idx="2">
                  <c:v>Industrial</c:v>
                </c:pt>
                <c:pt idx="3">
                  <c:v>Public Authority</c:v>
                </c:pt>
                <c:pt idx="4">
                  <c:v>Transportation</c:v>
                </c:pt>
                <c:pt idx="5">
                  <c:v>Water and Wastewater</c:v>
                </c:pt>
                <c:pt idx="6">
                  <c:v>Solid Waste</c:v>
                </c:pt>
              </c:strCache>
            </c:strRef>
          </c:cat>
          <c:val>
            <c:numRef>
              <c:f>'2008 Inventory'!$B$61:$B$67</c:f>
              <c:numCache>
                <c:formatCode>_(* #,##0_);_(* \(#,##0\);_(* "-"??_);_(@_)</c:formatCode>
                <c:ptCount val="7"/>
                <c:pt idx="0">
                  <c:v>896650.65782413713</c:v>
                </c:pt>
                <c:pt idx="1">
                  <c:v>557348.42022866441</c:v>
                </c:pt>
                <c:pt idx="2">
                  <c:v>451474.93454874121</c:v>
                </c:pt>
                <c:pt idx="3">
                  <c:v>109934.53974747361</c:v>
                </c:pt>
                <c:pt idx="4">
                  <c:v>1030745.6063357017</c:v>
                </c:pt>
                <c:pt idx="5">
                  <c:v>7193.5080034777529</c:v>
                </c:pt>
              </c:numCache>
            </c:numRef>
          </c:val>
        </c:ser>
        <c:axId val="107437056"/>
        <c:axId val="107463424"/>
      </c:barChart>
      <c:catAx>
        <c:axId val="107437056"/>
        <c:scaling>
          <c:orientation val="minMax"/>
        </c:scaling>
        <c:axPos val="b"/>
        <c:tickLblPos val="nextTo"/>
        <c:crossAx val="107463424"/>
        <c:crosses val="autoZero"/>
        <c:auto val="1"/>
        <c:lblAlgn val="ctr"/>
        <c:lblOffset val="100"/>
      </c:catAx>
      <c:valAx>
        <c:axId val="107463424"/>
        <c:scaling>
          <c:orientation val="minMax"/>
        </c:scaling>
        <c:axPos val="l"/>
        <c:majorGridlines/>
        <c:numFmt formatCode="_(* #,##0_);_(* \(#,##0\);_(* &quot;-&quot;??_);_(@_)" sourceLinked="1"/>
        <c:tickLblPos val="nextTo"/>
        <c:crossAx val="107437056"/>
        <c:crosses val="autoZero"/>
        <c:crossBetween val="between"/>
      </c:valAx>
    </c:plotArea>
    <c:legend>
      <c:legendPos val="r"/>
    </c:legend>
    <c:plotVisOnly val="1"/>
  </c:chart>
  <c:printSettings>
    <c:headerFooter/>
    <c:pageMargins b="0.75000000000000289" l="0.70000000000000062" r="0.70000000000000062" t="0.75000000000000289"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Emissions by Source (kg CO</a:t>
            </a:r>
            <a:r>
              <a:rPr lang="en-US" baseline="-25000"/>
              <a:t>2</a:t>
            </a:r>
            <a:r>
              <a:rPr lang="en-US" baseline="0"/>
              <a:t> eq)</a:t>
            </a:r>
            <a:endParaRPr lang="en-US"/>
          </a:p>
        </c:rich>
      </c:tx>
      <c:layout/>
    </c:title>
    <c:plotArea>
      <c:layout/>
      <c:barChart>
        <c:barDir val="col"/>
        <c:grouping val="clustered"/>
        <c:ser>
          <c:idx val="0"/>
          <c:order val="0"/>
          <c:tx>
            <c:strRef>
              <c:f>'2007 Inventory'!$O$5</c:f>
              <c:strCache>
                <c:ptCount val="1"/>
                <c:pt idx="0">
                  <c:v>Total CO2 Equivalent Emissions (kg)</c:v>
                </c:pt>
              </c:strCache>
            </c:strRef>
          </c:tx>
          <c:cat>
            <c:strRef>
              <c:f>'2006 Inventory'!$AD$1:$AD$6</c:f>
              <c:strCache>
                <c:ptCount val="6"/>
                <c:pt idx="0">
                  <c:v>Natural Gas</c:v>
                </c:pt>
                <c:pt idx="1">
                  <c:v>Other Stationary Combustion</c:v>
                </c:pt>
                <c:pt idx="2">
                  <c:v>Electricity</c:v>
                </c:pt>
                <c:pt idx="3">
                  <c:v>Mobile Combustion</c:v>
                </c:pt>
                <c:pt idx="4">
                  <c:v>Water and Wastewater</c:v>
                </c:pt>
                <c:pt idx="5">
                  <c:v>Solid Waste</c:v>
                </c:pt>
              </c:strCache>
            </c:strRef>
          </c:cat>
          <c:val>
            <c:numRef>
              <c:f>('2007 Inventory'!$O$10,'2007 Inventory'!$O$17,'2007 Inventory'!$O$31,'2007 Inventory'!$O$43,'2007 Inventory'!$O$51,'2007 Inventory'!$O$58)</c:f>
              <c:numCache>
                <c:formatCode>_(* #,##0_);_(* \(#,##0\);_(* "-"??_);_(@_)</c:formatCode>
                <c:ptCount val="6"/>
                <c:pt idx="0">
                  <c:v>43107650.736941926</c:v>
                </c:pt>
                <c:pt idx="1">
                  <c:v>2544939.8542318833</c:v>
                </c:pt>
                <c:pt idx="2">
                  <c:v>214041349.52165982</c:v>
                </c:pt>
                <c:pt idx="3">
                  <c:v>78758389.813231692</c:v>
                </c:pt>
                <c:pt idx="4">
                  <c:v>9933288.0911309812</c:v>
                </c:pt>
                <c:pt idx="5">
                  <c:v>332726.53831285721</c:v>
                </c:pt>
              </c:numCache>
            </c:numRef>
          </c:val>
        </c:ser>
        <c:axId val="107784064"/>
        <c:axId val="107785600"/>
      </c:barChart>
      <c:catAx>
        <c:axId val="107784064"/>
        <c:scaling>
          <c:orientation val="minMax"/>
        </c:scaling>
        <c:axPos val="b"/>
        <c:tickLblPos val="nextTo"/>
        <c:crossAx val="107785600"/>
        <c:crosses val="autoZero"/>
        <c:auto val="1"/>
        <c:lblAlgn val="ctr"/>
        <c:lblOffset val="100"/>
      </c:catAx>
      <c:valAx>
        <c:axId val="107785600"/>
        <c:scaling>
          <c:orientation val="minMax"/>
        </c:scaling>
        <c:axPos val="l"/>
        <c:majorGridlines/>
        <c:numFmt formatCode="_(* #,##0_);_(* \(#,##0\);_(* &quot;-&quot;??_);_(@_)" sourceLinked="1"/>
        <c:tickLblPos val="nextTo"/>
        <c:crossAx val="107784064"/>
        <c:crosses val="autoZero"/>
        <c:crossBetween val="between"/>
      </c:valAx>
    </c:plotArea>
    <c:legend>
      <c:legendPos val="r"/>
      <c:layout/>
      <c:txPr>
        <a:bodyPr/>
        <a:lstStyle/>
        <a:p>
          <a:pPr rtl="0">
            <a:defRPr/>
          </a:pPr>
          <a:endParaRPr lang="en-US"/>
        </a:p>
      </c:txPr>
    </c:legend>
    <c:plotVisOnly val="1"/>
  </c:chart>
  <c:printSettings>
    <c:headerFooter/>
    <c:pageMargins b="0.75000000000000289" l="0.70000000000000062" r="0.70000000000000062" t="0.75000000000000289"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a:t>Emissions by Sector </a:t>
            </a:r>
            <a:r>
              <a:rPr lang="en-US" sz="1800" b="1" i="0" baseline="0"/>
              <a:t>(kg CO</a:t>
            </a:r>
            <a:r>
              <a:rPr lang="en-US" sz="1800" b="1" i="0" baseline="-25000"/>
              <a:t>2</a:t>
            </a:r>
            <a:r>
              <a:rPr lang="en-US" sz="1800" b="1" i="0" baseline="0"/>
              <a:t> eq)</a:t>
            </a:r>
          </a:p>
        </c:rich>
      </c:tx>
      <c:layout/>
    </c:title>
    <c:plotArea>
      <c:layout/>
      <c:barChart>
        <c:barDir val="col"/>
        <c:grouping val="clustered"/>
        <c:ser>
          <c:idx val="0"/>
          <c:order val="0"/>
          <c:tx>
            <c:strRef>
              <c:f>'2012 Inventory'!$C$60</c:f>
              <c:strCache>
                <c:ptCount val="1"/>
                <c:pt idx="0">
                  <c:v>Total Emissions (kg CO2-e)</c:v>
                </c:pt>
              </c:strCache>
            </c:strRef>
          </c:tx>
          <c:cat>
            <c:strRef>
              <c:f>'2012 Inventory'!$A$61:$A$67</c:f>
              <c:strCache>
                <c:ptCount val="7"/>
                <c:pt idx="0">
                  <c:v>Residential</c:v>
                </c:pt>
                <c:pt idx="1">
                  <c:v>Commercial</c:v>
                </c:pt>
                <c:pt idx="2">
                  <c:v>Industrial</c:v>
                </c:pt>
                <c:pt idx="3">
                  <c:v>Public Authority</c:v>
                </c:pt>
                <c:pt idx="4">
                  <c:v>Transportation</c:v>
                </c:pt>
                <c:pt idx="5">
                  <c:v>Water and Wastewater</c:v>
                </c:pt>
                <c:pt idx="6">
                  <c:v>Solid Waste</c:v>
                </c:pt>
              </c:strCache>
            </c:strRef>
          </c:cat>
          <c:val>
            <c:numRef>
              <c:f>'2012 Inventory'!$C$61:$C$67</c:f>
              <c:numCache>
                <c:formatCode>_(* #,##0_);_(* \(#,##0\);_(* "-"??_);_(@_)</c:formatCode>
                <c:ptCount val="7"/>
                <c:pt idx="0">
                  <c:v>123251470.71081419</c:v>
                </c:pt>
                <c:pt idx="1">
                  <c:v>89539088.600648433</c:v>
                </c:pt>
                <c:pt idx="2">
                  <c:v>66711181.004970886</c:v>
                </c:pt>
                <c:pt idx="3">
                  <c:v>12984481.14914272</c:v>
                </c:pt>
                <c:pt idx="4">
                  <c:v>73940755.826632604</c:v>
                </c:pt>
                <c:pt idx="5">
                  <c:v>11847231.803672438</c:v>
                </c:pt>
                <c:pt idx="6">
                  <c:v>300883.76297652099</c:v>
                </c:pt>
              </c:numCache>
            </c:numRef>
          </c:val>
        </c:ser>
        <c:axId val="107800448"/>
        <c:axId val="107801984"/>
      </c:barChart>
      <c:catAx>
        <c:axId val="107800448"/>
        <c:scaling>
          <c:orientation val="minMax"/>
        </c:scaling>
        <c:axPos val="b"/>
        <c:tickLblPos val="nextTo"/>
        <c:crossAx val="107801984"/>
        <c:crosses val="autoZero"/>
        <c:auto val="1"/>
        <c:lblAlgn val="ctr"/>
        <c:lblOffset val="100"/>
      </c:catAx>
      <c:valAx>
        <c:axId val="107801984"/>
        <c:scaling>
          <c:orientation val="minMax"/>
        </c:scaling>
        <c:axPos val="l"/>
        <c:majorGridlines/>
        <c:numFmt formatCode="_(* #,##0_);_(* \(#,##0\);_(* &quot;-&quot;??_);_(@_)" sourceLinked="1"/>
        <c:tickLblPos val="nextTo"/>
        <c:crossAx val="107800448"/>
        <c:crosses val="autoZero"/>
        <c:crossBetween val="between"/>
      </c:valAx>
    </c:plotArea>
    <c:legend>
      <c:legendPos val="r"/>
      <c:layout/>
    </c:legend>
    <c:plotVisOnly val="1"/>
  </c:chart>
  <c:printSettings>
    <c:headerFooter/>
    <c:pageMargins b="0.75000000000000289" l="0.70000000000000062" r="0.70000000000000062" t="0.75000000000000289"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Emissions by Source (kg CO</a:t>
            </a:r>
            <a:r>
              <a:rPr lang="en-US" baseline="-25000"/>
              <a:t>2</a:t>
            </a:r>
            <a:r>
              <a:rPr lang="en-US" baseline="0"/>
              <a:t> eq)</a:t>
            </a:r>
            <a:endParaRPr lang="en-US"/>
          </a:p>
        </c:rich>
      </c:tx>
    </c:title>
    <c:plotArea>
      <c:layout/>
      <c:barChart>
        <c:barDir val="col"/>
        <c:grouping val="clustered"/>
        <c:ser>
          <c:idx val="0"/>
          <c:order val="0"/>
          <c:tx>
            <c:strRef>
              <c:f>'2006 Inventory'!$O$5</c:f>
              <c:strCache>
                <c:ptCount val="1"/>
                <c:pt idx="0">
                  <c:v>Total CO2 Equivalent Emissions (kg)</c:v>
                </c:pt>
              </c:strCache>
            </c:strRef>
          </c:tx>
          <c:cat>
            <c:strRef>
              <c:f>'2006 Inventory'!$AD$1:$AD$6</c:f>
              <c:strCache>
                <c:ptCount val="6"/>
                <c:pt idx="0">
                  <c:v>Natural Gas</c:v>
                </c:pt>
                <c:pt idx="1">
                  <c:v>Other Stationary Combustion</c:v>
                </c:pt>
                <c:pt idx="2">
                  <c:v>Electricity</c:v>
                </c:pt>
                <c:pt idx="3">
                  <c:v>Mobile Combustion</c:v>
                </c:pt>
                <c:pt idx="4">
                  <c:v>Water and Wastewater</c:v>
                </c:pt>
                <c:pt idx="5">
                  <c:v>Solid Waste</c:v>
                </c:pt>
              </c:strCache>
            </c:strRef>
          </c:cat>
          <c:val>
            <c:numRef>
              <c:f>('2006 Inventory'!$O$10,'2006 Inventory'!$O$17,'2006 Inventory'!$O$31,'2006 Inventory'!$O$43,'2006 Inventory'!$O$51,'2006 Inventory'!$O$58)</c:f>
              <c:numCache>
                <c:formatCode>_(* #,##0_);_(* \(#,##0\);_(* "-"??_);_(@_)</c:formatCode>
                <c:ptCount val="6"/>
                <c:pt idx="0">
                  <c:v>40200868.953624472</c:v>
                </c:pt>
                <c:pt idx="1">
                  <c:v>2544939.8542318833</c:v>
                </c:pt>
                <c:pt idx="2">
                  <c:v>195388422.87517244</c:v>
                </c:pt>
                <c:pt idx="3">
                  <c:v>76464750.030301511</c:v>
                </c:pt>
                <c:pt idx="4">
                  <c:v>10072884.603794655</c:v>
                </c:pt>
                <c:pt idx="5">
                  <c:v>311391.62863413378</c:v>
                </c:pt>
              </c:numCache>
            </c:numRef>
          </c:val>
        </c:ser>
        <c:axId val="107926272"/>
        <c:axId val="107927808"/>
      </c:barChart>
      <c:catAx>
        <c:axId val="107926272"/>
        <c:scaling>
          <c:orientation val="minMax"/>
        </c:scaling>
        <c:axPos val="b"/>
        <c:tickLblPos val="nextTo"/>
        <c:crossAx val="107927808"/>
        <c:crosses val="autoZero"/>
        <c:auto val="1"/>
        <c:lblAlgn val="ctr"/>
        <c:lblOffset val="100"/>
      </c:catAx>
      <c:valAx>
        <c:axId val="107927808"/>
        <c:scaling>
          <c:orientation val="minMax"/>
        </c:scaling>
        <c:axPos val="l"/>
        <c:majorGridlines/>
        <c:numFmt formatCode="_(* #,##0_);_(* \(#,##0\);_(* &quot;-&quot;??_);_(@_)" sourceLinked="1"/>
        <c:tickLblPos val="nextTo"/>
        <c:crossAx val="107926272"/>
        <c:crosses val="autoZero"/>
        <c:crossBetween val="between"/>
      </c:valAx>
    </c:plotArea>
    <c:legend>
      <c:legendPos val="r"/>
      <c:txPr>
        <a:bodyPr/>
        <a:lstStyle/>
        <a:p>
          <a:pPr rtl="0">
            <a:defRPr/>
          </a:pPr>
          <a:endParaRPr lang="en-US"/>
        </a:p>
      </c:txPr>
    </c:legend>
    <c:plotVisOnly val="1"/>
  </c:chart>
  <c:printSettings>
    <c:headerFooter/>
    <c:pageMargins b="0.75000000000000289" l="0.70000000000000062" r="0.70000000000000062" t="0.75000000000000289"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a:t>Emissions by Sector </a:t>
            </a:r>
            <a:r>
              <a:rPr lang="en-US" sz="1800" b="1" i="0" baseline="0"/>
              <a:t>(kg CO</a:t>
            </a:r>
            <a:r>
              <a:rPr lang="en-US" sz="1800" b="1" i="0" baseline="-25000"/>
              <a:t>2</a:t>
            </a:r>
            <a:r>
              <a:rPr lang="en-US" sz="1800" b="1" i="0" baseline="0"/>
              <a:t> eq)</a:t>
            </a:r>
          </a:p>
        </c:rich>
      </c:tx>
    </c:title>
    <c:plotArea>
      <c:layout/>
      <c:barChart>
        <c:barDir val="col"/>
        <c:grouping val="clustered"/>
        <c:ser>
          <c:idx val="0"/>
          <c:order val="0"/>
          <c:tx>
            <c:strRef>
              <c:f>'2012 Inventory'!$C$60</c:f>
              <c:strCache>
                <c:ptCount val="1"/>
                <c:pt idx="0">
                  <c:v>Total Emissions (kg CO2-e)</c:v>
                </c:pt>
              </c:strCache>
            </c:strRef>
          </c:tx>
          <c:cat>
            <c:strRef>
              <c:f>'2012 Inventory'!$A$61:$A$67</c:f>
              <c:strCache>
                <c:ptCount val="7"/>
                <c:pt idx="0">
                  <c:v>Residential</c:v>
                </c:pt>
                <c:pt idx="1">
                  <c:v>Commercial</c:v>
                </c:pt>
                <c:pt idx="2">
                  <c:v>Industrial</c:v>
                </c:pt>
                <c:pt idx="3">
                  <c:v>Public Authority</c:v>
                </c:pt>
                <c:pt idx="4">
                  <c:v>Transportation</c:v>
                </c:pt>
                <c:pt idx="5">
                  <c:v>Water and Wastewater</c:v>
                </c:pt>
                <c:pt idx="6">
                  <c:v>Solid Waste</c:v>
                </c:pt>
              </c:strCache>
            </c:strRef>
          </c:cat>
          <c:val>
            <c:numRef>
              <c:f>'2006 Inventory'!$B$63:$B$69</c:f>
              <c:numCache>
                <c:formatCode>_(* #,##0_);_(* \(#,##0\);_(* "-"??_);_(@_)</c:formatCode>
                <c:ptCount val="7"/>
                <c:pt idx="0">
                  <c:v>784081.83109018579</c:v>
                </c:pt>
                <c:pt idx="1">
                  <c:v>415468.05896383006</c:v>
                </c:pt>
                <c:pt idx="2">
                  <c:v>365744.21001444</c:v>
                </c:pt>
                <c:pt idx="3">
                  <c:v>91649.654160257196</c:v>
                </c:pt>
                <c:pt idx="4">
                  <c:v>1018862.2917663176</c:v>
                </c:pt>
                <c:pt idx="5">
                  <c:v>7475.7288685244612</c:v>
                </c:pt>
              </c:numCache>
            </c:numRef>
          </c:val>
        </c:ser>
        <c:axId val="107713280"/>
        <c:axId val="107714816"/>
      </c:barChart>
      <c:catAx>
        <c:axId val="107713280"/>
        <c:scaling>
          <c:orientation val="minMax"/>
        </c:scaling>
        <c:axPos val="b"/>
        <c:tickLblPos val="nextTo"/>
        <c:crossAx val="107714816"/>
        <c:crosses val="autoZero"/>
        <c:auto val="1"/>
        <c:lblAlgn val="ctr"/>
        <c:lblOffset val="100"/>
      </c:catAx>
      <c:valAx>
        <c:axId val="107714816"/>
        <c:scaling>
          <c:orientation val="minMax"/>
        </c:scaling>
        <c:axPos val="l"/>
        <c:majorGridlines/>
        <c:numFmt formatCode="_(* #,##0_);_(* \(#,##0\);_(* &quot;-&quot;??_);_(@_)" sourceLinked="1"/>
        <c:tickLblPos val="nextTo"/>
        <c:crossAx val="107713280"/>
        <c:crosses val="autoZero"/>
        <c:crossBetween val="between"/>
      </c:valAx>
    </c:plotArea>
    <c:legend>
      <c:legendPos val="r"/>
    </c:legend>
    <c:plotVisOnly val="1"/>
  </c:chart>
  <c:printSettings>
    <c:headerFooter/>
    <c:pageMargins b="0.75000000000000289" l="0.70000000000000062" r="0.70000000000000062" t="0.75000000000000289"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'ATMOS NG Calculations'!$B$31</c:f>
              <c:strCache>
                <c:ptCount val="1"/>
                <c:pt idx="0">
                  <c:v>Ind</c:v>
                </c:pt>
              </c:strCache>
            </c:strRef>
          </c:tx>
          <c:marker>
            <c:symbol val="none"/>
          </c:marker>
          <c:cat>
            <c:numRef>
              <c:f>'ATMOS NG Calculations'!$J$26:$CH$26</c:f>
              <c:numCache>
                <c:formatCode>[$-409]mmm\-yy;@</c:formatCode>
                <c:ptCount val="77"/>
                <c:pt idx="0">
                  <c:v>38930</c:v>
                </c:pt>
                <c:pt idx="1">
                  <c:v>38961</c:v>
                </c:pt>
                <c:pt idx="2">
                  <c:v>38991</c:v>
                </c:pt>
                <c:pt idx="3">
                  <c:v>39022</c:v>
                </c:pt>
                <c:pt idx="4">
                  <c:v>39052</c:v>
                </c:pt>
                <c:pt idx="5">
                  <c:v>39083</c:v>
                </c:pt>
                <c:pt idx="6">
                  <c:v>39114</c:v>
                </c:pt>
                <c:pt idx="7">
                  <c:v>39142</c:v>
                </c:pt>
                <c:pt idx="8">
                  <c:v>39173</c:v>
                </c:pt>
                <c:pt idx="9">
                  <c:v>39203</c:v>
                </c:pt>
                <c:pt idx="10">
                  <c:v>39234</c:v>
                </c:pt>
                <c:pt idx="11">
                  <c:v>39264</c:v>
                </c:pt>
                <c:pt idx="12">
                  <c:v>39295</c:v>
                </c:pt>
                <c:pt idx="13">
                  <c:v>39326</c:v>
                </c:pt>
                <c:pt idx="14">
                  <c:v>39356</c:v>
                </c:pt>
                <c:pt idx="15">
                  <c:v>39387</c:v>
                </c:pt>
                <c:pt idx="16">
                  <c:v>39417</c:v>
                </c:pt>
                <c:pt idx="17">
                  <c:v>39448</c:v>
                </c:pt>
                <c:pt idx="18">
                  <c:v>39479</c:v>
                </c:pt>
                <c:pt idx="19">
                  <c:v>39508</c:v>
                </c:pt>
                <c:pt idx="20">
                  <c:v>39539</c:v>
                </c:pt>
                <c:pt idx="21">
                  <c:v>39569</c:v>
                </c:pt>
                <c:pt idx="22">
                  <c:v>39600</c:v>
                </c:pt>
                <c:pt idx="23">
                  <c:v>39630</c:v>
                </c:pt>
                <c:pt idx="24">
                  <c:v>39661</c:v>
                </c:pt>
                <c:pt idx="25">
                  <c:v>39692</c:v>
                </c:pt>
                <c:pt idx="26">
                  <c:v>39722</c:v>
                </c:pt>
                <c:pt idx="27">
                  <c:v>39753</c:v>
                </c:pt>
                <c:pt idx="28">
                  <c:v>39783</c:v>
                </c:pt>
                <c:pt idx="29">
                  <c:v>39814</c:v>
                </c:pt>
                <c:pt idx="30">
                  <c:v>39845</c:v>
                </c:pt>
                <c:pt idx="31">
                  <c:v>39873</c:v>
                </c:pt>
                <c:pt idx="32">
                  <c:v>39904</c:v>
                </c:pt>
                <c:pt idx="33">
                  <c:v>39934</c:v>
                </c:pt>
                <c:pt idx="34">
                  <c:v>39965</c:v>
                </c:pt>
                <c:pt idx="35">
                  <c:v>39995</c:v>
                </c:pt>
                <c:pt idx="36">
                  <c:v>40026</c:v>
                </c:pt>
                <c:pt idx="37">
                  <c:v>40057</c:v>
                </c:pt>
                <c:pt idx="38">
                  <c:v>40087</c:v>
                </c:pt>
                <c:pt idx="39">
                  <c:v>40118</c:v>
                </c:pt>
                <c:pt idx="40">
                  <c:v>40148</c:v>
                </c:pt>
                <c:pt idx="41">
                  <c:v>40179</c:v>
                </c:pt>
                <c:pt idx="42">
                  <c:v>40210</c:v>
                </c:pt>
                <c:pt idx="43">
                  <c:v>40238</c:v>
                </c:pt>
                <c:pt idx="44">
                  <c:v>40269</c:v>
                </c:pt>
                <c:pt idx="45">
                  <c:v>40299</c:v>
                </c:pt>
                <c:pt idx="46">
                  <c:v>40330</c:v>
                </c:pt>
                <c:pt idx="47">
                  <c:v>40360</c:v>
                </c:pt>
                <c:pt idx="48">
                  <c:v>40391</c:v>
                </c:pt>
                <c:pt idx="49">
                  <c:v>40422</c:v>
                </c:pt>
                <c:pt idx="50">
                  <c:v>40452</c:v>
                </c:pt>
                <c:pt idx="51">
                  <c:v>40483</c:v>
                </c:pt>
                <c:pt idx="52">
                  <c:v>40513</c:v>
                </c:pt>
                <c:pt idx="53">
                  <c:v>40544</c:v>
                </c:pt>
                <c:pt idx="54">
                  <c:v>40575</c:v>
                </c:pt>
                <c:pt idx="55">
                  <c:v>40603</c:v>
                </c:pt>
                <c:pt idx="56">
                  <c:v>40634</c:v>
                </c:pt>
                <c:pt idx="57">
                  <c:v>40664</c:v>
                </c:pt>
                <c:pt idx="58">
                  <c:v>40695</c:v>
                </c:pt>
                <c:pt idx="59">
                  <c:v>40725</c:v>
                </c:pt>
                <c:pt idx="60">
                  <c:v>40756</c:v>
                </c:pt>
                <c:pt idx="61">
                  <c:v>40787</c:v>
                </c:pt>
                <c:pt idx="62">
                  <c:v>40817</c:v>
                </c:pt>
                <c:pt idx="63">
                  <c:v>40848</c:v>
                </c:pt>
                <c:pt idx="64">
                  <c:v>40878</c:v>
                </c:pt>
                <c:pt idx="65">
                  <c:v>40909</c:v>
                </c:pt>
                <c:pt idx="66">
                  <c:v>40940</c:v>
                </c:pt>
                <c:pt idx="67">
                  <c:v>40969</c:v>
                </c:pt>
                <c:pt idx="68">
                  <c:v>41000</c:v>
                </c:pt>
                <c:pt idx="69">
                  <c:v>41030</c:v>
                </c:pt>
                <c:pt idx="70">
                  <c:v>41061</c:v>
                </c:pt>
                <c:pt idx="71">
                  <c:v>41091</c:v>
                </c:pt>
                <c:pt idx="72">
                  <c:v>41122</c:v>
                </c:pt>
                <c:pt idx="73">
                  <c:v>41153</c:v>
                </c:pt>
                <c:pt idx="74">
                  <c:v>41183</c:v>
                </c:pt>
                <c:pt idx="75">
                  <c:v>41214</c:v>
                </c:pt>
                <c:pt idx="76">
                  <c:v>41244</c:v>
                </c:pt>
              </c:numCache>
            </c:numRef>
          </c:cat>
          <c:val>
            <c:numRef>
              <c:f>'ATMOS NG Calculations'!$J$31:$CH$31</c:f>
              <c:numCache>
                <c:formatCode>_(* #,##0_);_(* \(#,##0\);_(* "-"??_);_(@_)</c:formatCode>
                <c:ptCount val="77"/>
                <c:pt idx="0">
                  <c:v>24116.387199999997</c:v>
                </c:pt>
                <c:pt idx="1">
                  <c:v>22549.336199999998</c:v>
                </c:pt>
                <c:pt idx="2">
                  <c:v>16203.386</c:v>
                </c:pt>
                <c:pt idx="3">
                  <c:v>27391.998899999999</c:v>
                </c:pt>
                <c:pt idx="4">
                  <c:v>17258.7143</c:v>
                </c:pt>
                <c:pt idx="5">
                  <c:v>16787.981599999999</c:v>
                </c:pt>
                <c:pt idx="6">
                  <c:v>25344.907999999999</c:v>
                </c:pt>
                <c:pt idx="7">
                  <c:v>21659.790199999999</c:v>
                </c:pt>
                <c:pt idx="8">
                  <c:v>24679.239699999998</c:v>
                </c:pt>
                <c:pt idx="9">
                  <c:v>27946.099000000002</c:v>
                </c:pt>
                <c:pt idx="10">
                  <c:v>23580.583299999998</c:v>
                </c:pt>
                <c:pt idx="11">
                  <c:v>19905.0713</c:v>
                </c:pt>
                <c:pt idx="12">
                  <c:v>18657.493300000002</c:v>
                </c:pt>
                <c:pt idx="13">
                  <c:v>32167.5242</c:v>
                </c:pt>
                <c:pt idx="14">
                  <c:v>20634.1633</c:v>
                </c:pt>
                <c:pt idx="15">
                  <c:v>17678.968099999998</c:v>
                </c:pt>
                <c:pt idx="16">
                  <c:v>24759.414799999999</c:v>
                </c:pt>
                <c:pt idx="17">
                  <c:v>18820.034299999999</c:v>
                </c:pt>
                <c:pt idx="18">
                  <c:v>22917.566500000001</c:v>
                </c:pt>
                <c:pt idx="19">
                  <c:v>22218.890299999999</c:v>
                </c:pt>
                <c:pt idx="20">
                  <c:v>25542.506600000001</c:v>
                </c:pt>
                <c:pt idx="21">
                  <c:v>21729.103500000001</c:v>
                </c:pt>
                <c:pt idx="22">
                  <c:v>20616.046600000001</c:v>
                </c:pt>
                <c:pt idx="23">
                  <c:v>23209.9113</c:v>
                </c:pt>
                <c:pt idx="24">
                  <c:v>24466.429100000001</c:v>
                </c:pt>
                <c:pt idx="25">
                  <c:v>22514.429499999998</c:v>
                </c:pt>
                <c:pt idx="26">
                  <c:v>19457.7166</c:v>
                </c:pt>
                <c:pt idx="27">
                  <c:v>19533.4709</c:v>
                </c:pt>
                <c:pt idx="28">
                  <c:v>17569.3783</c:v>
                </c:pt>
                <c:pt idx="29">
                  <c:v>13320.6168</c:v>
                </c:pt>
                <c:pt idx="30">
                  <c:v>13116.5977</c:v>
                </c:pt>
                <c:pt idx="31">
                  <c:v>13646.603800000001</c:v>
                </c:pt>
                <c:pt idx="32">
                  <c:v>15649.898300000001</c:v>
                </c:pt>
                <c:pt idx="33">
                  <c:v>12811.988600000001</c:v>
                </c:pt>
                <c:pt idx="34">
                  <c:v>15960.753700000001</c:v>
                </c:pt>
                <c:pt idx="35">
                  <c:v>18206.7107</c:v>
                </c:pt>
                <c:pt idx="36">
                  <c:v>18848.5782</c:v>
                </c:pt>
                <c:pt idx="37">
                  <c:v>21794.963599999999</c:v>
                </c:pt>
                <c:pt idx="38">
                  <c:v>17477.3835</c:v>
                </c:pt>
                <c:pt idx="39">
                  <c:v>22199.486700000001</c:v>
                </c:pt>
                <c:pt idx="40">
                  <c:v>18861</c:v>
                </c:pt>
                <c:pt idx="41">
                  <c:v>6923.3243000000002</c:v>
                </c:pt>
                <c:pt idx="42">
                  <c:v>4152.4069</c:v>
                </c:pt>
                <c:pt idx="43">
                  <c:v>4483.6121000000003</c:v>
                </c:pt>
                <c:pt idx="44">
                  <c:v>5950.44</c:v>
                </c:pt>
                <c:pt idx="45">
                  <c:v>4665.05</c:v>
                </c:pt>
                <c:pt idx="46">
                  <c:v>6775.83</c:v>
                </c:pt>
                <c:pt idx="47">
                  <c:v>6377.05</c:v>
                </c:pt>
                <c:pt idx="48">
                  <c:v>9238.5400000000009</c:v>
                </c:pt>
                <c:pt idx="49">
                  <c:v>5620.5</c:v>
                </c:pt>
                <c:pt idx="50">
                  <c:v>6878.12</c:v>
                </c:pt>
                <c:pt idx="51">
                  <c:v>7430.58</c:v>
                </c:pt>
                <c:pt idx="52">
                  <c:v>5541.56</c:v>
                </c:pt>
                <c:pt idx="53">
                  <c:v>3827.6</c:v>
                </c:pt>
                <c:pt idx="54">
                  <c:v>8261.7000000000007</c:v>
                </c:pt>
                <c:pt idx="55">
                  <c:v>5337.1</c:v>
                </c:pt>
                <c:pt idx="56">
                  <c:v>10612.63</c:v>
                </c:pt>
                <c:pt idx="57">
                  <c:v>10868.93</c:v>
                </c:pt>
                <c:pt idx="58">
                  <c:v>9870.0400000000009</c:v>
                </c:pt>
                <c:pt idx="59">
                  <c:v>7185.59</c:v>
                </c:pt>
                <c:pt idx="60">
                  <c:v>8081.21</c:v>
                </c:pt>
                <c:pt idx="61">
                  <c:v>6901.75</c:v>
                </c:pt>
                <c:pt idx="62">
                  <c:v>3749.51</c:v>
                </c:pt>
                <c:pt idx="63">
                  <c:v>5257.96</c:v>
                </c:pt>
                <c:pt idx="64">
                  <c:v>4447.62</c:v>
                </c:pt>
                <c:pt idx="65">
                  <c:v>10856.62</c:v>
                </c:pt>
                <c:pt idx="66">
                  <c:v>2461.5300000000002</c:v>
                </c:pt>
                <c:pt idx="67">
                  <c:v>3103.87</c:v>
                </c:pt>
                <c:pt idx="68">
                  <c:v>6149.98</c:v>
                </c:pt>
                <c:pt idx="69">
                  <c:v>6278.76</c:v>
                </c:pt>
                <c:pt idx="70">
                  <c:v>532.38</c:v>
                </c:pt>
                <c:pt idx="71">
                  <c:v>757.88</c:v>
                </c:pt>
                <c:pt idx="72">
                  <c:v>686.28</c:v>
                </c:pt>
                <c:pt idx="73">
                  <c:v>529.89</c:v>
                </c:pt>
                <c:pt idx="74">
                  <c:v>355.83</c:v>
                </c:pt>
                <c:pt idx="75">
                  <c:v>683.57</c:v>
                </c:pt>
                <c:pt idx="76">
                  <c:v>715.11</c:v>
                </c:pt>
              </c:numCache>
            </c:numRef>
          </c:val>
        </c:ser>
        <c:ser>
          <c:idx val="1"/>
          <c:order val="1"/>
          <c:tx>
            <c:strRef>
              <c:f>'ATMOS NG Calculations'!$B$32</c:f>
              <c:strCache>
                <c:ptCount val="1"/>
                <c:pt idx="0">
                  <c:v>Trans</c:v>
                </c:pt>
              </c:strCache>
            </c:strRef>
          </c:tx>
          <c:marker>
            <c:symbol val="none"/>
          </c:marker>
          <c:cat>
            <c:numRef>
              <c:f>'ATMOS NG Calculations'!$J$26:$CH$26</c:f>
              <c:numCache>
                <c:formatCode>[$-409]mmm\-yy;@</c:formatCode>
                <c:ptCount val="77"/>
                <c:pt idx="0">
                  <c:v>38930</c:v>
                </c:pt>
                <c:pt idx="1">
                  <c:v>38961</c:v>
                </c:pt>
                <c:pt idx="2">
                  <c:v>38991</c:v>
                </c:pt>
                <c:pt idx="3">
                  <c:v>39022</c:v>
                </c:pt>
                <c:pt idx="4">
                  <c:v>39052</c:v>
                </c:pt>
                <c:pt idx="5">
                  <c:v>39083</c:v>
                </c:pt>
                <c:pt idx="6">
                  <c:v>39114</c:v>
                </c:pt>
                <c:pt idx="7">
                  <c:v>39142</c:v>
                </c:pt>
                <c:pt idx="8">
                  <c:v>39173</c:v>
                </c:pt>
                <c:pt idx="9">
                  <c:v>39203</c:v>
                </c:pt>
                <c:pt idx="10">
                  <c:v>39234</c:v>
                </c:pt>
                <c:pt idx="11">
                  <c:v>39264</c:v>
                </c:pt>
                <c:pt idx="12">
                  <c:v>39295</c:v>
                </c:pt>
                <c:pt idx="13">
                  <c:v>39326</c:v>
                </c:pt>
                <c:pt idx="14">
                  <c:v>39356</c:v>
                </c:pt>
                <c:pt idx="15">
                  <c:v>39387</c:v>
                </c:pt>
                <c:pt idx="16">
                  <c:v>39417</c:v>
                </c:pt>
                <c:pt idx="17">
                  <c:v>39448</c:v>
                </c:pt>
                <c:pt idx="18">
                  <c:v>39479</c:v>
                </c:pt>
                <c:pt idx="19">
                  <c:v>39508</c:v>
                </c:pt>
                <c:pt idx="20">
                  <c:v>39539</c:v>
                </c:pt>
                <c:pt idx="21">
                  <c:v>39569</c:v>
                </c:pt>
                <c:pt idx="22">
                  <c:v>39600</c:v>
                </c:pt>
                <c:pt idx="23">
                  <c:v>39630</c:v>
                </c:pt>
                <c:pt idx="24">
                  <c:v>39661</c:v>
                </c:pt>
                <c:pt idx="25">
                  <c:v>39692</c:v>
                </c:pt>
                <c:pt idx="26">
                  <c:v>39722</c:v>
                </c:pt>
                <c:pt idx="27">
                  <c:v>39753</c:v>
                </c:pt>
                <c:pt idx="28">
                  <c:v>39783</c:v>
                </c:pt>
                <c:pt idx="29">
                  <c:v>39814</c:v>
                </c:pt>
                <c:pt idx="30">
                  <c:v>39845</c:v>
                </c:pt>
                <c:pt idx="31">
                  <c:v>39873</c:v>
                </c:pt>
                <c:pt idx="32">
                  <c:v>39904</c:v>
                </c:pt>
                <c:pt idx="33">
                  <c:v>39934</c:v>
                </c:pt>
                <c:pt idx="34">
                  <c:v>39965</c:v>
                </c:pt>
                <c:pt idx="35">
                  <c:v>39995</c:v>
                </c:pt>
                <c:pt idx="36">
                  <c:v>40026</c:v>
                </c:pt>
                <c:pt idx="37">
                  <c:v>40057</c:v>
                </c:pt>
                <c:pt idx="38">
                  <c:v>40087</c:v>
                </c:pt>
                <c:pt idx="39">
                  <c:v>40118</c:v>
                </c:pt>
                <c:pt idx="40">
                  <c:v>40148</c:v>
                </c:pt>
                <c:pt idx="41">
                  <c:v>40179</c:v>
                </c:pt>
                <c:pt idx="42">
                  <c:v>40210</c:v>
                </c:pt>
                <c:pt idx="43">
                  <c:v>40238</c:v>
                </c:pt>
                <c:pt idx="44">
                  <c:v>40269</c:v>
                </c:pt>
                <c:pt idx="45">
                  <c:v>40299</c:v>
                </c:pt>
                <c:pt idx="46">
                  <c:v>40330</c:v>
                </c:pt>
                <c:pt idx="47">
                  <c:v>40360</c:v>
                </c:pt>
                <c:pt idx="48">
                  <c:v>40391</c:v>
                </c:pt>
                <c:pt idx="49">
                  <c:v>40422</c:v>
                </c:pt>
                <c:pt idx="50">
                  <c:v>40452</c:v>
                </c:pt>
                <c:pt idx="51">
                  <c:v>40483</c:v>
                </c:pt>
                <c:pt idx="52">
                  <c:v>40513</c:v>
                </c:pt>
                <c:pt idx="53">
                  <c:v>40544</c:v>
                </c:pt>
                <c:pt idx="54">
                  <c:v>40575</c:v>
                </c:pt>
                <c:pt idx="55">
                  <c:v>40603</c:v>
                </c:pt>
                <c:pt idx="56">
                  <c:v>40634</c:v>
                </c:pt>
                <c:pt idx="57">
                  <c:v>40664</c:v>
                </c:pt>
                <c:pt idx="58">
                  <c:v>40695</c:v>
                </c:pt>
                <c:pt idx="59">
                  <c:v>40725</c:v>
                </c:pt>
                <c:pt idx="60">
                  <c:v>40756</c:v>
                </c:pt>
                <c:pt idx="61">
                  <c:v>40787</c:v>
                </c:pt>
                <c:pt idx="62">
                  <c:v>40817</c:v>
                </c:pt>
                <c:pt idx="63">
                  <c:v>40848</c:v>
                </c:pt>
                <c:pt idx="64">
                  <c:v>40878</c:v>
                </c:pt>
                <c:pt idx="65">
                  <c:v>40909</c:v>
                </c:pt>
                <c:pt idx="66">
                  <c:v>40940</c:v>
                </c:pt>
                <c:pt idx="67">
                  <c:v>40969</c:v>
                </c:pt>
                <c:pt idx="68">
                  <c:v>41000</c:v>
                </c:pt>
                <c:pt idx="69">
                  <c:v>41030</c:v>
                </c:pt>
                <c:pt idx="70">
                  <c:v>41061</c:v>
                </c:pt>
                <c:pt idx="71">
                  <c:v>41091</c:v>
                </c:pt>
                <c:pt idx="72">
                  <c:v>41122</c:v>
                </c:pt>
                <c:pt idx="73">
                  <c:v>41153</c:v>
                </c:pt>
                <c:pt idx="74">
                  <c:v>41183</c:v>
                </c:pt>
                <c:pt idx="75">
                  <c:v>41214</c:v>
                </c:pt>
                <c:pt idx="76">
                  <c:v>41244</c:v>
                </c:pt>
              </c:numCache>
            </c:numRef>
          </c:cat>
          <c:val>
            <c:numRef>
              <c:f>'ATMOS NG Calculations'!$J$32:$CH$32</c:f>
              <c:numCache>
                <c:formatCode>_(* #,##0_);_(* \(#,##0\);_(* "-"??_);_(@_)</c:formatCode>
                <c:ptCount val="77"/>
                <c:pt idx="0">
                  <c:v>35575</c:v>
                </c:pt>
                <c:pt idx="1">
                  <c:v>37014</c:v>
                </c:pt>
                <c:pt idx="2">
                  <c:v>41645</c:v>
                </c:pt>
                <c:pt idx="3">
                  <c:v>23024</c:v>
                </c:pt>
                <c:pt idx="4">
                  <c:v>29306</c:v>
                </c:pt>
                <c:pt idx="5">
                  <c:v>7377</c:v>
                </c:pt>
                <c:pt idx="6">
                  <c:v>22101</c:v>
                </c:pt>
                <c:pt idx="7">
                  <c:v>12791</c:v>
                </c:pt>
                <c:pt idx="8">
                  <c:v>1067</c:v>
                </c:pt>
                <c:pt idx="9">
                  <c:v>2883</c:v>
                </c:pt>
                <c:pt idx="10">
                  <c:v>24100</c:v>
                </c:pt>
                <c:pt idx="11">
                  <c:v>38621</c:v>
                </c:pt>
                <c:pt idx="12">
                  <c:v>39161</c:v>
                </c:pt>
                <c:pt idx="13">
                  <c:v>35469</c:v>
                </c:pt>
                <c:pt idx="14">
                  <c:v>42054</c:v>
                </c:pt>
                <c:pt idx="15">
                  <c:v>21486</c:v>
                </c:pt>
                <c:pt idx="16">
                  <c:v>24596</c:v>
                </c:pt>
                <c:pt idx="17">
                  <c:v>15469.395</c:v>
                </c:pt>
                <c:pt idx="18">
                  <c:v>4394</c:v>
                </c:pt>
                <c:pt idx="19">
                  <c:v>1719</c:v>
                </c:pt>
                <c:pt idx="20">
                  <c:v>17781</c:v>
                </c:pt>
                <c:pt idx="21">
                  <c:v>17811</c:v>
                </c:pt>
                <c:pt idx="22">
                  <c:v>4058</c:v>
                </c:pt>
                <c:pt idx="23">
                  <c:v>269</c:v>
                </c:pt>
                <c:pt idx="24">
                  <c:v>450</c:v>
                </c:pt>
                <c:pt idx="25">
                  <c:v>17049</c:v>
                </c:pt>
                <c:pt idx="26">
                  <c:v>5349</c:v>
                </c:pt>
                <c:pt idx="27">
                  <c:v>18573</c:v>
                </c:pt>
                <c:pt idx="28">
                  <c:v>44771</c:v>
                </c:pt>
                <c:pt idx="29">
                  <c:v>5957</c:v>
                </c:pt>
                <c:pt idx="30">
                  <c:v>2430</c:v>
                </c:pt>
                <c:pt idx="31">
                  <c:v>753</c:v>
                </c:pt>
                <c:pt idx="32">
                  <c:v>9891</c:v>
                </c:pt>
                <c:pt idx="33">
                  <c:v>25111</c:v>
                </c:pt>
                <c:pt idx="34">
                  <c:v>13002</c:v>
                </c:pt>
                <c:pt idx="35">
                  <c:v>1</c:v>
                </c:pt>
                <c:pt idx="36">
                  <c:v>21</c:v>
                </c:pt>
                <c:pt idx="37">
                  <c:v>0</c:v>
                </c:pt>
                <c:pt idx="38">
                  <c:v>23231</c:v>
                </c:pt>
                <c:pt idx="39">
                  <c:v>10840</c:v>
                </c:pt>
                <c:pt idx="40">
                  <c:v>2460</c:v>
                </c:pt>
                <c:pt idx="41">
                  <c:v>16388</c:v>
                </c:pt>
                <c:pt idx="42">
                  <c:v>17949</c:v>
                </c:pt>
                <c:pt idx="43">
                  <c:v>19235</c:v>
                </c:pt>
                <c:pt idx="44">
                  <c:v>19108</c:v>
                </c:pt>
                <c:pt idx="45">
                  <c:v>16658</c:v>
                </c:pt>
                <c:pt idx="46">
                  <c:v>16347</c:v>
                </c:pt>
                <c:pt idx="47">
                  <c:v>17066</c:v>
                </c:pt>
                <c:pt idx="48">
                  <c:v>16787</c:v>
                </c:pt>
                <c:pt idx="49">
                  <c:v>19147</c:v>
                </c:pt>
                <c:pt idx="50">
                  <c:v>15061</c:v>
                </c:pt>
                <c:pt idx="51">
                  <c:v>52034</c:v>
                </c:pt>
                <c:pt idx="52">
                  <c:v>27004</c:v>
                </c:pt>
                <c:pt idx="53">
                  <c:v>17580</c:v>
                </c:pt>
                <c:pt idx="54">
                  <c:v>25914</c:v>
                </c:pt>
                <c:pt idx="55">
                  <c:v>24706</c:v>
                </c:pt>
                <c:pt idx="56">
                  <c:v>20902</c:v>
                </c:pt>
                <c:pt idx="57">
                  <c:v>16614</c:v>
                </c:pt>
                <c:pt idx="58">
                  <c:v>16763</c:v>
                </c:pt>
                <c:pt idx="59">
                  <c:v>31358</c:v>
                </c:pt>
                <c:pt idx="60">
                  <c:v>13056</c:v>
                </c:pt>
                <c:pt idx="61">
                  <c:v>15435</c:v>
                </c:pt>
                <c:pt idx="62">
                  <c:v>13202</c:v>
                </c:pt>
                <c:pt idx="63">
                  <c:v>13033</c:v>
                </c:pt>
                <c:pt idx="64">
                  <c:v>14900</c:v>
                </c:pt>
                <c:pt idx="65">
                  <c:v>15492</c:v>
                </c:pt>
                <c:pt idx="66">
                  <c:v>22866</c:v>
                </c:pt>
                <c:pt idx="67">
                  <c:v>20625</c:v>
                </c:pt>
                <c:pt idx="68">
                  <c:v>23647</c:v>
                </c:pt>
                <c:pt idx="69">
                  <c:v>34271</c:v>
                </c:pt>
                <c:pt idx="70">
                  <c:v>61028</c:v>
                </c:pt>
                <c:pt idx="71">
                  <c:v>56387</c:v>
                </c:pt>
                <c:pt idx="72">
                  <c:v>38610</c:v>
                </c:pt>
                <c:pt idx="73">
                  <c:v>59428</c:v>
                </c:pt>
                <c:pt idx="74">
                  <c:v>73597</c:v>
                </c:pt>
                <c:pt idx="75">
                  <c:v>87618</c:v>
                </c:pt>
                <c:pt idx="76">
                  <c:v>57415</c:v>
                </c:pt>
              </c:numCache>
            </c:numRef>
          </c:val>
        </c:ser>
        <c:ser>
          <c:idx val="2"/>
          <c:order val="2"/>
          <c:tx>
            <c:strRef>
              <c:f>'ATMOS NG Calculations'!$B$30</c:f>
              <c:strCache>
                <c:ptCount val="1"/>
                <c:pt idx="0">
                  <c:v>Com</c:v>
                </c:pt>
              </c:strCache>
            </c:strRef>
          </c:tx>
          <c:marker>
            <c:symbol val="none"/>
          </c:marker>
          <c:val>
            <c:numRef>
              <c:f>'ATMOS NG Calculations'!$J$30:$CH$30</c:f>
              <c:numCache>
                <c:formatCode>_(* #,##0_);_(* \(#,##0\);_(* "-"??_);_(@_)</c:formatCode>
                <c:ptCount val="77"/>
                <c:pt idx="0">
                  <c:v>15039.1661</c:v>
                </c:pt>
                <c:pt idx="1">
                  <c:v>13889.0407</c:v>
                </c:pt>
                <c:pt idx="2">
                  <c:v>21640.547300000002</c:v>
                </c:pt>
                <c:pt idx="3">
                  <c:v>36275.689599999998</c:v>
                </c:pt>
                <c:pt idx="4">
                  <c:v>45869.905500000001</c:v>
                </c:pt>
                <c:pt idx="5">
                  <c:v>51760.100200000001</c:v>
                </c:pt>
                <c:pt idx="6">
                  <c:v>67587.818100000004</c:v>
                </c:pt>
                <c:pt idx="7">
                  <c:v>49489.548699999999</c:v>
                </c:pt>
                <c:pt idx="8">
                  <c:v>33147.326700000005</c:v>
                </c:pt>
                <c:pt idx="9">
                  <c:v>22065.050599999999</c:v>
                </c:pt>
                <c:pt idx="10">
                  <c:v>13685.7996</c:v>
                </c:pt>
                <c:pt idx="11">
                  <c:v>12153.657999999999</c:v>
                </c:pt>
                <c:pt idx="12">
                  <c:v>13086.9529</c:v>
                </c:pt>
                <c:pt idx="13">
                  <c:v>13010.1558</c:v>
                </c:pt>
                <c:pt idx="14">
                  <c:v>16567.899799999999</c:v>
                </c:pt>
                <c:pt idx="15">
                  <c:v>29537.304400000005</c:v>
                </c:pt>
                <c:pt idx="16">
                  <c:v>49847.385800000004</c:v>
                </c:pt>
                <c:pt idx="17">
                  <c:v>60142.3194</c:v>
                </c:pt>
                <c:pt idx="18">
                  <c:v>54716.3557</c:v>
                </c:pt>
                <c:pt idx="19">
                  <c:v>46849.132299999997</c:v>
                </c:pt>
                <c:pt idx="20">
                  <c:v>35284.890699999996</c:v>
                </c:pt>
                <c:pt idx="21">
                  <c:v>21613.571199999998</c:v>
                </c:pt>
                <c:pt idx="22">
                  <c:v>14390.172899999998</c:v>
                </c:pt>
                <c:pt idx="23">
                  <c:v>13254.911100000001</c:v>
                </c:pt>
                <c:pt idx="24">
                  <c:v>11491.079</c:v>
                </c:pt>
                <c:pt idx="25">
                  <c:v>14541.3343</c:v>
                </c:pt>
                <c:pt idx="26">
                  <c:v>22666.082899999998</c:v>
                </c:pt>
                <c:pt idx="27">
                  <c:v>36283.054100000001</c:v>
                </c:pt>
                <c:pt idx="28">
                  <c:v>60379.450899999996</c:v>
                </c:pt>
                <c:pt idx="29">
                  <c:v>59615.078800000003</c:v>
                </c:pt>
                <c:pt idx="30">
                  <c:v>62342.497700000007</c:v>
                </c:pt>
                <c:pt idx="31">
                  <c:v>52020.748</c:v>
                </c:pt>
                <c:pt idx="32">
                  <c:v>37640.168799999999</c:v>
                </c:pt>
                <c:pt idx="33">
                  <c:v>21998.2929</c:v>
                </c:pt>
                <c:pt idx="34">
                  <c:v>14688.573900000001</c:v>
                </c:pt>
                <c:pt idx="35">
                  <c:v>13506.171699999999</c:v>
                </c:pt>
                <c:pt idx="36">
                  <c:v>13892.954</c:v>
                </c:pt>
                <c:pt idx="37">
                  <c:v>15470.269</c:v>
                </c:pt>
                <c:pt idx="38">
                  <c:v>23051.412100000001</c:v>
                </c:pt>
                <c:pt idx="39">
                  <c:v>34850.851999999999</c:v>
                </c:pt>
                <c:pt idx="40">
                  <c:v>56253.834900000002</c:v>
                </c:pt>
                <c:pt idx="41">
                  <c:v>77234.172600000005</c:v>
                </c:pt>
                <c:pt idx="42">
                  <c:v>70832.408200000005</c:v>
                </c:pt>
                <c:pt idx="43">
                  <c:v>58583.115599999997</c:v>
                </c:pt>
                <c:pt idx="44">
                  <c:v>29726.42</c:v>
                </c:pt>
                <c:pt idx="45">
                  <c:v>18770.12</c:v>
                </c:pt>
                <c:pt idx="46">
                  <c:v>13360.53</c:v>
                </c:pt>
                <c:pt idx="47">
                  <c:v>11791.66</c:v>
                </c:pt>
                <c:pt idx="48">
                  <c:v>10995.94</c:v>
                </c:pt>
                <c:pt idx="49">
                  <c:v>14221.61</c:v>
                </c:pt>
                <c:pt idx="50">
                  <c:v>17709.560000000001</c:v>
                </c:pt>
                <c:pt idx="51">
                  <c:v>28637.02</c:v>
                </c:pt>
                <c:pt idx="52">
                  <c:v>64807.49</c:v>
                </c:pt>
                <c:pt idx="53">
                  <c:v>70196.39</c:v>
                </c:pt>
                <c:pt idx="54">
                  <c:v>60505.61</c:v>
                </c:pt>
                <c:pt idx="55">
                  <c:v>44033.13</c:v>
                </c:pt>
                <c:pt idx="56">
                  <c:v>35485.29</c:v>
                </c:pt>
                <c:pt idx="57">
                  <c:v>20260.29</c:v>
                </c:pt>
                <c:pt idx="58">
                  <c:v>12791.51</c:v>
                </c:pt>
                <c:pt idx="59">
                  <c:v>11315.54</c:v>
                </c:pt>
                <c:pt idx="60">
                  <c:v>11747.54</c:v>
                </c:pt>
                <c:pt idx="61">
                  <c:v>14563.57</c:v>
                </c:pt>
                <c:pt idx="62">
                  <c:v>19702.599999999999</c:v>
                </c:pt>
                <c:pt idx="63">
                  <c:v>32152.91</c:v>
                </c:pt>
                <c:pt idx="64">
                  <c:v>41637.42</c:v>
                </c:pt>
                <c:pt idx="65">
                  <c:v>52798.57</c:v>
                </c:pt>
                <c:pt idx="66">
                  <c:v>49382.74</c:v>
                </c:pt>
                <c:pt idx="67">
                  <c:v>40942.800000000003</c:v>
                </c:pt>
                <c:pt idx="68">
                  <c:v>24320.54</c:v>
                </c:pt>
                <c:pt idx="69">
                  <c:v>20206.2</c:v>
                </c:pt>
                <c:pt idx="70">
                  <c:v>13182.63</c:v>
                </c:pt>
                <c:pt idx="71">
                  <c:v>13371.45</c:v>
                </c:pt>
                <c:pt idx="72">
                  <c:v>11279.33</c:v>
                </c:pt>
                <c:pt idx="73">
                  <c:v>14083.57</c:v>
                </c:pt>
                <c:pt idx="74">
                  <c:v>20512.97</c:v>
                </c:pt>
                <c:pt idx="75">
                  <c:v>37771.730000000003</c:v>
                </c:pt>
                <c:pt idx="76">
                  <c:v>45215.31</c:v>
                </c:pt>
              </c:numCache>
            </c:numRef>
          </c:val>
        </c:ser>
        <c:ser>
          <c:idx val="3"/>
          <c:order val="3"/>
          <c:tx>
            <c:strRef>
              <c:f>'ATMOS NG Calculations'!$B$33</c:f>
              <c:strCache>
                <c:ptCount val="1"/>
                <c:pt idx="0">
                  <c:v>Pub</c:v>
                </c:pt>
              </c:strCache>
            </c:strRef>
          </c:tx>
          <c:marker>
            <c:symbol val="none"/>
          </c:marker>
          <c:val>
            <c:numRef>
              <c:f>'ATMOS NG Calculations'!$C$33:$CH$33</c:f>
              <c:numCache>
                <c:formatCode>_(* #,##0_);_(* \(#,##0\);_(* "-"??_);_(@_)</c:formatCode>
                <c:ptCount val="84"/>
                <c:pt idx="0">
                  <c:v>3289.5</c:v>
                </c:pt>
                <c:pt idx="1">
                  <c:v>3990.4</c:v>
                </c:pt>
                <c:pt idx="2">
                  <c:v>3604.3</c:v>
                </c:pt>
                <c:pt idx="3">
                  <c:v>2186.3000000000002</c:v>
                </c:pt>
                <c:pt idx="4">
                  <c:v>2371.8000000000002</c:v>
                </c:pt>
                <c:pt idx="5">
                  <c:v>1614.9</c:v>
                </c:pt>
                <c:pt idx="6">
                  <c:v>1264.3</c:v>
                </c:pt>
                <c:pt idx="7">
                  <c:v>380.6</c:v>
                </c:pt>
                <c:pt idx="8">
                  <c:v>2617.8000000000002</c:v>
                </c:pt>
                <c:pt idx="9">
                  <c:v>2666.3</c:v>
                </c:pt>
                <c:pt idx="10">
                  <c:v>4213.3999999999996</c:v>
                </c:pt>
                <c:pt idx="11">
                  <c:v>4517.8999999999996</c:v>
                </c:pt>
                <c:pt idx="12">
                  <c:v>4289.3</c:v>
                </c:pt>
                <c:pt idx="13">
                  <c:v>5811.8</c:v>
                </c:pt>
                <c:pt idx="14">
                  <c:v>3421</c:v>
                </c:pt>
                <c:pt idx="15">
                  <c:v>3012.4</c:v>
                </c:pt>
                <c:pt idx="16">
                  <c:v>2253.6120000000001</c:v>
                </c:pt>
                <c:pt idx="17">
                  <c:v>1534.1119999999999</c:v>
                </c:pt>
                <c:pt idx="18">
                  <c:v>1315.3229000000001</c:v>
                </c:pt>
                <c:pt idx="19">
                  <c:v>1096.2036000000001</c:v>
                </c:pt>
                <c:pt idx="20">
                  <c:v>1436.152</c:v>
                </c:pt>
                <c:pt idx="21">
                  <c:v>2212.6046000000001</c:v>
                </c:pt>
                <c:pt idx="22">
                  <c:v>294.0634</c:v>
                </c:pt>
                <c:pt idx="23">
                  <c:v>10442.449299999998</c:v>
                </c:pt>
                <c:pt idx="24">
                  <c:v>6604.9782000000005</c:v>
                </c:pt>
                <c:pt idx="25">
                  <c:v>4748.3981000000003</c:v>
                </c:pt>
                <c:pt idx="26">
                  <c:v>4426.7819</c:v>
                </c:pt>
                <c:pt idx="27">
                  <c:v>3799.4865999999997</c:v>
                </c:pt>
                <c:pt idx="28">
                  <c:v>3161.4677000000001</c:v>
                </c:pt>
                <c:pt idx="29">
                  <c:v>1857.4938999999999</c:v>
                </c:pt>
                <c:pt idx="30">
                  <c:v>2091.1153999999997</c:v>
                </c:pt>
                <c:pt idx="31">
                  <c:v>2225.8522000000003</c:v>
                </c:pt>
                <c:pt idx="32">
                  <c:v>2731.4349999999999</c:v>
                </c:pt>
                <c:pt idx="33">
                  <c:v>4834.9594999999999</c:v>
                </c:pt>
                <c:pt idx="34">
                  <c:v>5694.9708999999993</c:v>
                </c:pt>
                <c:pt idx="35">
                  <c:v>7475.9706999999999</c:v>
                </c:pt>
                <c:pt idx="36">
                  <c:v>6233.4023999999999</c:v>
                </c:pt>
                <c:pt idx="37">
                  <c:v>6996.4821999999995</c:v>
                </c:pt>
                <c:pt idx="38">
                  <c:v>3685.0237999999999</c:v>
                </c:pt>
                <c:pt idx="39">
                  <c:v>4803.1341000000002</c:v>
                </c:pt>
                <c:pt idx="40">
                  <c:v>2319.7696999999998</c:v>
                </c:pt>
                <c:pt idx="41">
                  <c:v>1853.4016999999999</c:v>
                </c:pt>
                <c:pt idx="42">
                  <c:v>1533.963</c:v>
                </c:pt>
                <c:pt idx="43">
                  <c:v>1567.1069</c:v>
                </c:pt>
                <c:pt idx="44">
                  <c:v>1904.962</c:v>
                </c:pt>
                <c:pt idx="45">
                  <c:v>3156.8521000000005</c:v>
                </c:pt>
                <c:pt idx="46">
                  <c:v>3772.4558999999999</c:v>
                </c:pt>
                <c:pt idx="47">
                  <c:v>7509.6042999999991</c:v>
                </c:pt>
                <c:pt idx="48">
                  <c:v>7883.4080999999996</c:v>
                </c:pt>
                <c:pt idx="49">
                  <c:v>6642.3888999999999</c:v>
                </c:pt>
                <c:pt idx="50">
                  <c:v>5304.1602000000003</c:v>
                </c:pt>
                <c:pt idx="51">
                  <c:v>3616.68</c:v>
                </c:pt>
                <c:pt idx="52">
                  <c:v>2730.9</c:v>
                </c:pt>
                <c:pt idx="53">
                  <c:v>1608.45</c:v>
                </c:pt>
                <c:pt idx="54">
                  <c:v>1548.7</c:v>
                </c:pt>
                <c:pt idx="55">
                  <c:v>1623.04</c:v>
                </c:pt>
                <c:pt idx="56">
                  <c:v>1705.34</c:v>
                </c:pt>
                <c:pt idx="57">
                  <c:v>2186.0500000000002</c:v>
                </c:pt>
                <c:pt idx="58">
                  <c:v>3823.19</c:v>
                </c:pt>
                <c:pt idx="59">
                  <c:v>8326.2000000000007</c:v>
                </c:pt>
                <c:pt idx="60">
                  <c:v>8420.42</c:v>
                </c:pt>
                <c:pt idx="61">
                  <c:v>6693.72</c:v>
                </c:pt>
                <c:pt idx="62">
                  <c:v>5532.03</c:v>
                </c:pt>
                <c:pt idx="63">
                  <c:v>4296.18</c:v>
                </c:pt>
                <c:pt idx="64">
                  <c:v>2521.75</c:v>
                </c:pt>
                <c:pt idx="65">
                  <c:v>1462.84</c:v>
                </c:pt>
                <c:pt idx="66">
                  <c:v>1577.26</c:v>
                </c:pt>
                <c:pt idx="67">
                  <c:v>1413.58</c:v>
                </c:pt>
                <c:pt idx="68">
                  <c:v>2466.4299999999998</c:v>
                </c:pt>
                <c:pt idx="69">
                  <c:v>3348.96</c:v>
                </c:pt>
                <c:pt idx="70">
                  <c:v>5137.01</c:v>
                </c:pt>
                <c:pt idx="71">
                  <c:v>6443.7</c:v>
                </c:pt>
                <c:pt idx="72">
                  <c:v>7791.9</c:v>
                </c:pt>
                <c:pt idx="73">
                  <c:v>6797.37</c:v>
                </c:pt>
                <c:pt idx="74">
                  <c:v>4845.57</c:v>
                </c:pt>
                <c:pt idx="75">
                  <c:v>3204.04</c:v>
                </c:pt>
                <c:pt idx="76">
                  <c:v>2520.41</c:v>
                </c:pt>
                <c:pt idx="77">
                  <c:v>1663.98</c:v>
                </c:pt>
                <c:pt idx="78">
                  <c:v>869.73</c:v>
                </c:pt>
                <c:pt idx="79">
                  <c:v>1108.23</c:v>
                </c:pt>
                <c:pt idx="80">
                  <c:v>2267.83</c:v>
                </c:pt>
                <c:pt idx="81">
                  <c:v>2518.2800000000002</c:v>
                </c:pt>
                <c:pt idx="82">
                  <c:v>3480.51</c:v>
                </c:pt>
                <c:pt idx="83">
                  <c:v>4070.55</c:v>
                </c:pt>
              </c:numCache>
            </c:numRef>
          </c:val>
        </c:ser>
        <c:ser>
          <c:idx val="4"/>
          <c:order val="4"/>
          <c:tx>
            <c:strRef>
              <c:f>'ATMOS NG Calculations'!$B$27</c:f>
              <c:strCache>
                <c:ptCount val="1"/>
                <c:pt idx="0">
                  <c:v>VT Buildings</c:v>
                </c:pt>
              </c:strCache>
            </c:strRef>
          </c:tx>
          <c:marker>
            <c:symbol val="none"/>
          </c:marker>
          <c:val>
            <c:numRef>
              <c:f>'ATMOS NG Calculations'!$J$28:$CJ$28</c:f>
              <c:numCache>
                <c:formatCode>[$-409]mmm\-yy;@</c:formatCode>
                <c:ptCount val="79"/>
                <c:pt idx="29" formatCode="0.00">
                  <c:v>5000</c:v>
                </c:pt>
                <c:pt idx="30" formatCode="_(* #,##0_);_(* \(#,##0\);_(* &quot;-&quot;??_);_(@_)">
                  <c:v>2363.8132295719843</c:v>
                </c:pt>
                <c:pt idx="31" formatCode="_(* #,##0_);_(* \(#,##0\);_(* &quot;-&quot;??_);_(@_)">
                  <c:v>732.49027237354085</c:v>
                </c:pt>
                <c:pt idx="32" formatCode="_(* #,##0_);_(* \(#,##0\);_(* &quot;-&quot;??_);_(@_)">
                  <c:v>9621.5953307392992</c:v>
                </c:pt>
                <c:pt idx="33" formatCode="_(* #,##0_);_(* \(#,##0\);_(* &quot;-&quot;??_);_(@_)">
                  <c:v>24427.042801556421</c:v>
                </c:pt>
                <c:pt idx="34" formatCode="_(* #,##0_);_(* \(#,##0\);_(* &quot;-&quot;??_);_(@_)">
                  <c:v>1283.0739299610893</c:v>
                </c:pt>
                <c:pt idx="35" formatCode="_(* #,##0_);_(* \(#,##0\);_(* &quot;-&quot;??_);_(@_)">
                  <c:v>9.727626459143969E-2</c:v>
                </c:pt>
                <c:pt idx="36" formatCode="_(* #,##0_);_(* \(#,##0\);_(* &quot;-&quot;??_);_(@_)">
                  <c:v>20.428015564202333</c:v>
                </c:pt>
                <c:pt idx="37" formatCode="_(* #,##0_);_(* \(#,##0\);_(* &quot;-&quot;??_);_(@_)">
                  <c:v>0</c:v>
                </c:pt>
                <c:pt idx="38" formatCode="_(* #,##0_);_(* \(#,##0\);_(* &quot;-&quot;??_);_(@_)">
                  <c:v>22598.249027237354</c:v>
                </c:pt>
                <c:pt idx="39" formatCode="_(* #,##0_);_(* \(#,##0\);_(* &quot;-&quot;??_);_(@_)">
                  <c:v>10544.747081712063</c:v>
                </c:pt>
                <c:pt idx="40" formatCode="_(* #,##0_);_(* \(#,##0\);_(* &quot;-&quot;??_);_(@_)">
                  <c:v>2392.9961089494163</c:v>
                </c:pt>
                <c:pt idx="41" formatCode="_(* #,##0_);_(* \(#,##0\);_(* &quot;-&quot;??_);_(@_)">
                  <c:v>426.07003891050584</c:v>
                </c:pt>
                <c:pt idx="42" formatCode="_(* #,##0_);_(* \(#,##0\);_(* &quot;-&quot;??_);_(@_)">
                  <c:v>455.25291828793775</c:v>
                </c:pt>
                <c:pt idx="43" formatCode="_(* #,##0_);_(* \(#,##0\);_(* &quot;-&quot;??_);_(@_)">
                  <c:v>809.33852140077818</c:v>
                </c:pt>
                <c:pt idx="44" formatCode="_(* #,##0_);_(* \(#,##0\);_(* &quot;-&quot;??_);_(@_)">
                  <c:v>460.11673151750972</c:v>
                </c:pt>
                <c:pt idx="45" formatCode="_(* #,##0_);_(* \(#,##0\);_(* &quot;-&quot;??_);_(@_)">
                  <c:v>14.591439688715953</c:v>
                </c:pt>
                <c:pt idx="46" formatCode="_(* #,##0_);_(* \(#,##0\);_(* &quot;-&quot;??_);_(@_)">
                  <c:v>35.992217898832685</c:v>
                </c:pt>
                <c:pt idx="47" formatCode="_(* #,##0_);_(* \(#,##0\);_(* &quot;-&quot;??_);_(@_)">
                  <c:v>287.93774319066148</c:v>
                </c:pt>
                <c:pt idx="48" formatCode="_(* #,##0_);_(* \(#,##0\);_(* &quot;-&quot;??_);_(@_)">
                  <c:v>6.809338521400778</c:v>
                </c:pt>
                <c:pt idx="49" formatCode="_(* #,##0_);_(* \(#,##0\);_(* &quot;-&quot;??_);_(@_)">
                  <c:v>122.568093385214</c:v>
                </c:pt>
                <c:pt idx="50" formatCode="_(* #,##0_);_(* \(#,##0\);_(* &quot;-&quot;??_);_(@_)">
                  <c:v>88.521400778210122</c:v>
                </c:pt>
                <c:pt idx="51" formatCode="_(* #,##0_);_(* \(#,##0\);_(* &quot;-&quot;??_);_(@_)">
                  <c:v>33570.038910505835</c:v>
                </c:pt>
                <c:pt idx="52" formatCode="_(* #,##0_);_(* \(#,##0\);_(* &quot;-&quot;??_);_(@_)">
                  <c:v>7768.4824902723731</c:v>
                </c:pt>
                <c:pt idx="53" formatCode="_(* #,##0_);_(* \(#,##0\);_(* &quot;-&quot;??_);_(@_)">
                  <c:v>1793.7743190661479</c:v>
                </c:pt>
                <c:pt idx="54" formatCode="_(* #,##0_);_(* \(#,##0\);_(* &quot;-&quot;??_);_(@_)">
                  <c:v>904.66926070038903</c:v>
                </c:pt>
                <c:pt idx="55" formatCode="_(* #,##0_);_(* \(#,##0\);_(* &quot;-&quot;??_);_(@_)">
                  <c:v>5193.5797665369646</c:v>
                </c:pt>
                <c:pt idx="56" formatCode="_(* #,##0_);_(* \(#,##0\);_(* &quot;-&quot;??_);_(@_)">
                  <c:v>424.12451361867704</c:v>
                </c:pt>
                <c:pt idx="57" formatCode="_(* #,##0_);_(* \(#,##0\);_(* &quot;-&quot;??_);_(@_)">
                  <c:v>22.373540856031127</c:v>
                </c:pt>
                <c:pt idx="58" formatCode="_(* #,##0_);_(* \(#,##0\);_(* &quot;-&quot;??_);_(@_)">
                  <c:v>0</c:v>
                </c:pt>
                <c:pt idx="59" formatCode="_(* #,##0_);_(* \(#,##0\);_(* &quot;-&quot;??_);_(@_)">
                  <c:v>19.319066147859925</c:v>
                </c:pt>
                <c:pt idx="60" formatCode="_(* #,##0_);_(* \(#,##0\);_(* &quot;-&quot;??_);_(@_)">
                  <c:v>102.14007782101167</c:v>
                </c:pt>
                <c:pt idx="61" formatCode="_(* #,##0_);_(* \(#,##0\);_(* &quot;-&quot;??_);_(@_)">
                  <c:v>29.182879377431906</c:v>
                </c:pt>
                <c:pt idx="62" formatCode="_(* #,##0_);_(* \(#,##0\);_(* &quot;-&quot;??_);_(@_)">
                  <c:v>36.964980544747085</c:v>
                </c:pt>
                <c:pt idx="63" formatCode="_(* #,##0_);_(* \(#,##0\);_(* &quot;-&quot;??_);_(@_)">
                  <c:v>628.4046692607003</c:v>
                </c:pt>
                <c:pt idx="64" formatCode="_(* #,##0_);_(* \(#,##0\);_(* &quot;-&quot;??_);_(@_)">
                  <c:v>2520.4280155642023</c:v>
                </c:pt>
                <c:pt idx="65" formatCode="_(* #,##0_);_(* \(#,##0\);_(* &quot;-&quot;??_);_(@_)">
                  <c:v>263.61867704280155</c:v>
                </c:pt>
                <c:pt idx="66" formatCode="_(* #,##0_);_(* \(#,##0\);_(* &quot;-&quot;??_);_(@_)">
                  <c:v>260.70038910505838</c:v>
                </c:pt>
                <c:pt idx="67" formatCode="_(* #,##0_);_(* \(#,##0\);_(* &quot;-&quot;??_);_(@_)">
                  <c:v>1276.2645914396887</c:v>
                </c:pt>
                <c:pt idx="68" formatCode="_(* #,##0_);_(* \(#,##0\);_(* &quot;-&quot;??_);_(@_)">
                  <c:v>3632.2957198443578</c:v>
                </c:pt>
                <c:pt idx="69" formatCode="_(* #,##0_);_(* \(#,##0\);_(* &quot;-&quot;??_);_(@_)">
                  <c:v>15808.365758754864</c:v>
                </c:pt>
                <c:pt idx="70" formatCode="_(* #,##0_);_(* \(#,##0\);_(* &quot;-&quot;??_);_(@_)">
                  <c:v>42546.69260700389</c:v>
                </c:pt>
                <c:pt idx="71" formatCode="_(* #,##0_);_(* \(#,##0\);_(* &quot;-&quot;??_);_(@_)">
                  <c:v>28884.241245136185</c:v>
                </c:pt>
                <c:pt idx="72" formatCode="_(* #,##0_);_(* \(#,##0\);_(* &quot;-&quot;??_);_(@_)">
                  <c:v>20120.622568093382</c:v>
                </c:pt>
                <c:pt idx="73" formatCode="_(* #,##0_);_(* \(#,##0\);_(* &quot;-&quot;??_);_(@_)">
                  <c:v>31324.902723735409</c:v>
                </c:pt>
                <c:pt idx="74" formatCode="_(* #,##0_);_(* \(#,##0\);_(* &quot;-&quot;??_);_(@_)">
                  <c:v>50964.980544747079</c:v>
                </c:pt>
                <c:pt idx="75" formatCode="_(* #,##0_);_(* \(#,##0\);_(* &quot;-&quot;??_);_(@_)">
                  <c:v>31410.505836575874</c:v>
                </c:pt>
                <c:pt idx="76" formatCode="_(* #,##0_);_(* \(#,##0\);_(* &quot;-&quot;??_);_(@_)">
                  <c:v>30318.093385214008</c:v>
                </c:pt>
                <c:pt idx="77" formatCode="_(* #,##0_);_(* \(#,##0\);_(* &quot;-&quot;??_);_(@_)">
                  <c:v>18001.945525291827</c:v>
                </c:pt>
                <c:pt idx="78" formatCode="_(* #,##0_);_(* \(#,##0\);_(* &quot;-&quot;??_);_(@_)">
                  <c:v>1.6548489379097336E-2</c:v>
                </c:pt>
              </c:numCache>
            </c:numRef>
          </c:val>
        </c:ser>
        <c:marker val="1"/>
        <c:axId val="113101056"/>
        <c:axId val="113127424"/>
      </c:lineChart>
      <c:dateAx>
        <c:axId val="113101056"/>
        <c:scaling>
          <c:orientation val="minMax"/>
        </c:scaling>
        <c:axPos val="b"/>
        <c:numFmt formatCode="[$-409]mmm\-yy;@" sourceLinked="1"/>
        <c:tickLblPos val="nextTo"/>
        <c:crossAx val="113127424"/>
        <c:crosses val="autoZero"/>
        <c:auto val="1"/>
        <c:lblOffset val="100"/>
      </c:dateAx>
      <c:valAx>
        <c:axId val="113127424"/>
        <c:scaling>
          <c:orientation val="minMax"/>
        </c:scaling>
        <c:axPos val="l"/>
        <c:majorGridlines/>
        <c:numFmt formatCode="_(* #,##0_);_(* \(#,##0\);_(* &quot;-&quot;??_);_(@_)" sourceLinked="1"/>
        <c:tickLblPos val="nextTo"/>
        <c:crossAx val="113101056"/>
        <c:crosses val="autoZero"/>
        <c:crossBetween val="between"/>
      </c:valAx>
    </c:plotArea>
    <c:legend>
      <c:legendPos val="r"/>
    </c:legend>
    <c:plotVisOnly val="1"/>
  </c:chart>
  <c:printSettings>
    <c:headerFooter/>
    <c:pageMargins b="0.75000000000000211" l="0.70000000000000062" r="0.70000000000000062" t="0.7500000000000021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611368116160622"/>
          <c:y val="5.1400554097404488E-2"/>
          <c:w val="0.69434812900876253"/>
          <c:h val="0.79822506561679785"/>
        </c:manualLayout>
      </c:layout>
      <c:lineChart>
        <c:grouping val="standard"/>
        <c:ser>
          <c:idx val="0"/>
          <c:order val="0"/>
          <c:tx>
            <c:v>Natural Gas</c:v>
          </c:tx>
          <c:marker>
            <c:symbol val="none"/>
          </c:marker>
          <c:cat>
            <c:numRef>
              <c:f>'2006 - 2012 Emissions Overview'!$E$5:$K$5</c:f>
              <c:numCache>
                <c:formatCode>General</c:formatCode>
                <c:ptCount val="7"/>
                <c:pt idx="0">
                  <c:v>2006</c:v>
                </c:pt>
                <c:pt idx="1">
                  <c:v>2007</c:v>
                </c:pt>
                <c:pt idx="2">
                  <c:v>2008</c:v>
                </c:pt>
                <c:pt idx="3">
                  <c:v>2009</c:v>
                </c:pt>
                <c:pt idx="4">
                  <c:v>2010</c:v>
                </c:pt>
                <c:pt idx="5">
                  <c:v>2011</c:v>
                </c:pt>
                <c:pt idx="6">
                  <c:v>2012</c:v>
                </c:pt>
              </c:numCache>
            </c:numRef>
          </c:cat>
          <c:val>
            <c:numRef>
              <c:f>'2006 - 2012 Emissions Overview'!$E$10:$K$10</c:f>
              <c:numCache>
                <c:formatCode>_(* #,##0_);_(* \(#,##0\);_(* "-"??_);_(@_)</c:formatCode>
                <c:ptCount val="7"/>
                <c:pt idx="0">
                  <c:v>40200868.953624472</c:v>
                </c:pt>
                <c:pt idx="1">
                  <c:v>43107650.736941926</c:v>
                </c:pt>
                <c:pt idx="2">
                  <c:v>44722892.56129697</c:v>
                </c:pt>
                <c:pt idx="3">
                  <c:v>41914927.616066188</c:v>
                </c:pt>
                <c:pt idx="4">
                  <c:v>46618967.90539185</c:v>
                </c:pt>
                <c:pt idx="5">
                  <c:v>44150943.867367782</c:v>
                </c:pt>
                <c:pt idx="6">
                  <c:v>43162048.30882179</c:v>
                </c:pt>
              </c:numCache>
            </c:numRef>
          </c:val>
        </c:ser>
        <c:ser>
          <c:idx val="1"/>
          <c:order val="1"/>
          <c:tx>
            <c:v>Other Stationary Combustion</c:v>
          </c:tx>
          <c:marker>
            <c:symbol val="none"/>
          </c:marker>
          <c:cat>
            <c:numRef>
              <c:f>'2006 - 2012 Emissions Overview'!$E$5:$K$5</c:f>
              <c:numCache>
                <c:formatCode>General</c:formatCode>
                <c:ptCount val="7"/>
                <c:pt idx="0">
                  <c:v>2006</c:v>
                </c:pt>
                <c:pt idx="1">
                  <c:v>2007</c:v>
                </c:pt>
                <c:pt idx="2">
                  <c:v>2008</c:v>
                </c:pt>
                <c:pt idx="3">
                  <c:v>2009</c:v>
                </c:pt>
                <c:pt idx="4">
                  <c:v>2010</c:v>
                </c:pt>
                <c:pt idx="5">
                  <c:v>2011</c:v>
                </c:pt>
                <c:pt idx="6">
                  <c:v>2012</c:v>
                </c:pt>
              </c:numCache>
            </c:numRef>
          </c:cat>
          <c:val>
            <c:numRef>
              <c:f>'2006 - 2012 Emissions Overview'!$E$17:$K$17</c:f>
              <c:numCache>
                <c:formatCode>_(* #,##0_);_(* \(#,##0\);_(* "-"??_);_(@_)</c:formatCode>
                <c:ptCount val="7"/>
                <c:pt idx="0">
                  <c:v>2544939.8542318833</c:v>
                </c:pt>
                <c:pt idx="1">
                  <c:v>2544939.8542318833</c:v>
                </c:pt>
                <c:pt idx="2">
                  <c:v>2544939.8542318833</c:v>
                </c:pt>
                <c:pt idx="3">
                  <c:v>2544939.8542318833</c:v>
                </c:pt>
                <c:pt idx="4">
                  <c:v>3044183.3840289852</c:v>
                </c:pt>
                <c:pt idx="5">
                  <c:v>2845210.2640869566</c:v>
                </c:pt>
                <c:pt idx="6">
                  <c:v>2845210.2640869566</c:v>
                </c:pt>
              </c:numCache>
            </c:numRef>
          </c:val>
        </c:ser>
        <c:ser>
          <c:idx val="2"/>
          <c:order val="2"/>
          <c:tx>
            <c:v>Electricity</c:v>
          </c:tx>
          <c:marker>
            <c:symbol val="none"/>
          </c:marker>
          <c:cat>
            <c:numRef>
              <c:f>'2006 - 2012 Emissions Overview'!$E$5:$K$5</c:f>
              <c:numCache>
                <c:formatCode>General</c:formatCode>
                <c:ptCount val="7"/>
                <c:pt idx="0">
                  <c:v>2006</c:v>
                </c:pt>
                <c:pt idx="1">
                  <c:v>2007</c:v>
                </c:pt>
                <c:pt idx="2">
                  <c:v>2008</c:v>
                </c:pt>
                <c:pt idx="3">
                  <c:v>2009</c:v>
                </c:pt>
                <c:pt idx="4">
                  <c:v>2010</c:v>
                </c:pt>
                <c:pt idx="5">
                  <c:v>2011</c:v>
                </c:pt>
                <c:pt idx="6">
                  <c:v>2012</c:v>
                </c:pt>
              </c:numCache>
            </c:numRef>
          </c:cat>
          <c:val>
            <c:numRef>
              <c:f>'2006 - 2012 Emissions Overview'!$E$29:$K$29</c:f>
              <c:numCache>
                <c:formatCode>_(* #,##0_);_(* \(#,##0\);_(* "-"??_);_(@_)</c:formatCode>
                <c:ptCount val="7"/>
                <c:pt idx="0">
                  <c:v>195388422.87517244</c:v>
                </c:pt>
                <c:pt idx="1">
                  <c:v>214041349.52165982</c:v>
                </c:pt>
                <c:pt idx="2">
                  <c:v>263749926.29258016</c:v>
                </c:pt>
                <c:pt idx="3">
                  <c:v>273635380.24023521</c:v>
                </c:pt>
                <c:pt idx="4">
                  <c:v>280673186.45524067</c:v>
                </c:pt>
                <c:pt idx="5">
                  <c:v>263330147.4827522</c:v>
                </c:pt>
                <c:pt idx="6">
                  <c:v>246478962.89266747</c:v>
                </c:pt>
              </c:numCache>
            </c:numRef>
          </c:val>
        </c:ser>
        <c:ser>
          <c:idx val="3"/>
          <c:order val="3"/>
          <c:tx>
            <c:v>Mobile Combustion</c:v>
          </c:tx>
          <c:marker>
            <c:symbol val="none"/>
          </c:marker>
          <c:cat>
            <c:numRef>
              <c:f>'2006 - 2012 Emissions Overview'!$E$5:$K$5</c:f>
              <c:numCache>
                <c:formatCode>General</c:formatCode>
                <c:ptCount val="7"/>
                <c:pt idx="0">
                  <c:v>2006</c:v>
                </c:pt>
                <c:pt idx="1">
                  <c:v>2007</c:v>
                </c:pt>
                <c:pt idx="2">
                  <c:v>2008</c:v>
                </c:pt>
                <c:pt idx="3">
                  <c:v>2009</c:v>
                </c:pt>
                <c:pt idx="4">
                  <c:v>2010</c:v>
                </c:pt>
                <c:pt idx="5">
                  <c:v>2011</c:v>
                </c:pt>
                <c:pt idx="6">
                  <c:v>2012</c:v>
                </c:pt>
              </c:numCache>
            </c:numRef>
          </c:cat>
          <c:val>
            <c:numRef>
              <c:f>'2006 - 2012 Emissions Overview'!$E$41:$K$41</c:f>
              <c:numCache>
                <c:formatCode>_(* #,##0_);_(* \(#,##0\);_(* "-"??_);_(@_)</c:formatCode>
                <c:ptCount val="7"/>
                <c:pt idx="0">
                  <c:v>76464750.030301511</c:v>
                </c:pt>
                <c:pt idx="1">
                  <c:v>78758389.813231692</c:v>
                </c:pt>
                <c:pt idx="2">
                  <c:v>77426420.934875056</c:v>
                </c:pt>
                <c:pt idx="3">
                  <c:v>82200877.30370383</c:v>
                </c:pt>
                <c:pt idx="4">
                  <c:v>77792564.635626316</c:v>
                </c:pt>
                <c:pt idx="5">
                  <c:v>76919061.384074286</c:v>
                </c:pt>
                <c:pt idx="6">
                  <c:v>73940755.826632604</c:v>
                </c:pt>
              </c:numCache>
            </c:numRef>
          </c:val>
        </c:ser>
        <c:marker val="1"/>
        <c:axId val="104327808"/>
        <c:axId val="103027072"/>
      </c:lineChart>
      <c:catAx>
        <c:axId val="104327808"/>
        <c:scaling>
          <c:orientation val="minMax"/>
        </c:scaling>
        <c:axPos val="b"/>
        <c:numFmt formatCode="General" sourceLinked="1"/>
        <c:tickLblPos val="nextTo"/>
        <c:crossAx val="103027072"/>
        <c:crosses val="autoZero"/>
        <c:auto val="1"/>
        <c:lblAlgn val="ctr"/>
        <c:lblOffset val="100"/>
      </c:catAx>
      <c:valAx>
        <c:axId val="103027072"/>
        <c:scaling>
          <c:orientation val="minMax"/>
        </c:scaling>
        <c:axPos val="l"/>
        <c:majorGridlines/>
        <c:numFmt formatCode="_(* #,##0_);_(* \(#,##0\);_(* &quot;-&quot;??_);_(@_)" sourceLinked="1"/>
        <c:tickLblPos val="nextTo"/>
        <c:crossAx val="104327808"/>
        <c:crosses val="autoZero"/>
        <c:crossBetween val="between"/>
      </c:valAx>
    </c:plotArea>
    <c:legend>
      <c:legendPos val="r"/>
      <c:layout>
        <c:manualLayout>
          <c:xMode val="edge"/>
          <c:yMode val="edge"/>
          <c:x val="0.82585827085138463"/>
          <c:y val="0.30015820939049453"/>
          <c:w val="0.16490385274000641"/>
          <c:h val="0.56172061825605402"/>
        </c:manualLayout>
      </c:layout>
    </c:legend>
    <c:plotVisOnly val="1"/>
  </c:chart>
  <c:printSettings>
    <c:headerFooter/>
    <c:pageMargins b="0.75000000000000244" l="0.70000000000000062" r="0.70000000000000062" t="0.75000000000000244"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1"/>
          <c:order val="0"/>
          <c:tx>
            <c:strRef>
              <c:f>'ATMOS NG Calculations'!$B$30</c:f>
              <c:strCache>
                <c:ptCount val="1"/>
                <c:pt idx="0">
                  <c:v>Com</c:v>
                </c:pt>
              </c:strCache>
            </c:strRef>
          </c:tx>
          <c:spPr>
            <a:ln>
              <a:solidFill>
                <a:schemeClr val="accent3">
                  <a:lumMod val="50000"/>
                </a:schemeClr>
              </a:solidFill>
            </a:ln>
          </c:spPr>
          <c:marker>
            <c:symbol val="none"/>
          </c:marker>
          <c:cat>
            <c:numRef>
              <c:f>'ATMOS NG Calculations'!$J$26:$CH$26</c:f>
              <c:numCache>
                <c:formatCode>[$-409]mmm\-yy;@</c:formatCode>
                <c:ptCount val="77"/>
                <c:pt idx="0">
                  <c:v>38930</c:v>
                </c:pt>
                <c:pt idx="1">
                  <c:v>38961</c:v>
                </c:pt>
                <c:pt idx="2">
                  <c:v>38991</c:v>
                </c:pt>
                <c:pt idx="3">
                  <c:v>39022</c:v>
                </c:pt>
                <c:pt idx="4">
                  <c:v>39052</c:v>
                </c:pt>
                <c:pt idx="5">
                  <c:v>39083</c:v>
                </c:pt>
                <c:pt idx="6">
                  <c:v>39114</c:v>
                </c:pt>
                <c:pt idx="7">
                  <c:v>39142</c:v>
                </c:pt>
                <c:pt idx="8">
                  <c:v>39173</c:v>
                </c:pt>
                <c:pt idx="9">
                  <c:v>39203</c:v>
                </c:pt>
                <c:pt idx="10">
                  <c:v>39234</c:v>
                </c:pt>
                <c:pt idx="11">
                  <c:v>39264</c:v>
                </c:pt>
                <c:pt idx="12">
                  <c:v>39295</c:v>
                </c:pt>
                <c:pt idx="13">
                  <c:v>39326</c:v>
                </c:pt>
                <c:pt idx="14">
                  <c:v>39356</c:v>
                </c:pt>
                <c:pt idx="15">
                  <c:v>39387</c:v>
                </c:pt>
                <c:pt idx="16">
                  <c:v>39417</c:v>
                </c:pt>
                <c:pt idx="17">
                  <c:v>39448</c:v>
                </c:pt>
                <c:pt idx="18">
                  <c:v>39479</c:v>
                </c:pt>
                <c:pt idx="19">
                  <c:v>39508</c:v>
                </c:pt>
                <c:pt idx="20">
                  <c:v>39539</c:v>
                </c:pt>
                <c:pt idx="21">
                  <c:v>39569</c:v>
                </c:pt>
                <c:pt idx="22">
                  <c:v>39600</c:v>
                </c:pt>
                <c:pt idx="23">
                  <c:v>39630</c:v>
                </c:pt>
                <c:pt idx="24">
                  <c:v>39661</c:v>
                </c:pt>
                <c:pt idx="25">
                  <c:v>39692</c:v>
                </c:pt>
                <c:pt idx="26">
                  <c:v>39722</c:v>
                </c:pt>
                <c:pt idx="27">
                  <c:v>39753</c:v>
                </c:pt>
                <c:pt idx="28">
                  <c:v>39783</c:v>
                </c:pt>
                <c:pt idx="29">
                  <c:v>39814</c:v>
                </c:pt>
                <c:pt idx="30">
                  <c:v>39845</c:v>
                </c:pt>
                <c:pt idx="31">
                  <c:v>39873</c:v>
                </c:pt>
                <c:pt idx="32">
                  <c:v>39904</c:v>
                </c:pt>
                <c:pt idx="33">
                  <c:v>39934</c:v>
                </c:pt>
                <c:pt idx="34">
                  <c:v>39965</c:v>
                </c:pt>
                <c:pt idx="35">
                  <c:v>39995</c:v>
                </c:pt>
                <c:pt idx="36">
                  <c:v>40026</c:v>
                </c:pt>
                <c:pt idx="37">
                  <c:v>40057</c:v>
                </c:pt>
                <c:pt idx="38">
                  <c:v>40087</c:v>
                </c:pt>
                <c:pt idx="39">
                  <c:v>40118</c:v>
                </c:pt>
                <c:pt idx="40">
                  <c:v>40148</c:v>
                </c:pt>
                <c:pt idx="41">
                  <c:v>40179</c:v>
                </c:pt>
                <c:pt idx="42">
                  <c:v>40210</c:v>
                </c:pt>
                <c:pt idx="43">
                  <c:v>40238</c:v>
                </c:pt>
                <c:pt idx="44">
                  <c:v>40269</c:v>
                </c:pt>
                <c:pt idx="45">
                  <c:v>40299</c:v>
                </c:pt>
                <c:pt idx="46">
                  <c:v>40330</c:v>
                </c:pt>
                <c:pt idx="47">
                  <c:v>40360</c:v>
                </c:pt>
                <c:pt idx="48">
                  <c:v>40391</c:v>
                </c:pt>
                <c:pt idx="49">
                  <c:v>40422</c:v>
                </c:pt>
                <c:pt idx="50">
                  <c:v>40452</c:v>
                </c:pt>
                <c:pt idx="51">
                  <c:v>40483</c:v>
                </c:pt>
                <c:pt idx="52">
                  <c:v>40513</c:v>
                </c:pt>
                <c:pt idx="53">
                  <c:v>40544</c:v>
                </c:pt>
                <c:pt idx="54">
                  <c:v>40575</c:v>
                </c:pt>
                <c:pt idx="55">
                  <c:v>40603</c:v>
                </c:pt>
                <c:pt idx="56">
                  <c:v>40634</c:v>
                </c:pt>
                <c:pt idx="57">
                  <c:v>40664</c:v>
                </c:pt>
                <c:pt idx="58">
                  <c:v>40695</c:v>
                </c:pt>
                <c:pt idx="59">
                  <c:v>40725</c:v>
                </c:pt>
                <c:pt idx="60">
                  <c:v>40756</c:v>
                </c:pt>
                <c:pt idx="61">
                  <c:v>40787</c:v>
                </c:pt>
                <c:pt idx="62">
                  <c:v>40817</c:v>
                </c:pt>
                <c:pt idx="63">
                  <c:v>40848</c:v>
                </c:pt>
                <c:pt idx="64">
                  <c:v>40878</c:v>
                </c:pt>
                <c:pt idx="65">
                  <c:v>40909</c:v>
                </c:pt>
                <c:pt idx="66">
                  <c:v>40940</c:v>
                </c:pt>
                <c:pt idx="67">
                  <c:v>40969</c:v>
                </c:pt>
                <c:pt idx="68">
                  <c:v>41000</c:v>
                </c:pt>
                <c:pt idx="69">
                  <c:v>41030</c:v>
                </c:pt>
                <c:pt idx="70">
                  <c:v>41061</c:v>
                </c:pt>
                <c:pt idx="71">
                  <c:v>41091</c:v>
                </c:pt>
                <c:pt idx="72">
                  <c:v>41122</c:v>
                </c:pt>
                <c:pt idx="73">
                  <c:v>41153</c:v>
                </c:pt>
                <c:pt idx="74">
                  <c:v>41183</c:v>
                </c:pt>
                <c:pt idx="75">
                  <c:v>41214</c:v>
                </c:pt>
                <c:pt idx="76">
                  <c:v>41244</c:v>
                </c:pt>
              </c:numCache>
            </c:numRef>
          </c:cat>
          <c:val>
            <c:numRef>
              <c:f>'ATMOS NG Calculations'!$J$30:$CH$30</c:f>
              <c:numCache>
                <c:formatCode>_(* #,##0_);_(* \(#,##0\);_(* "-"??_);_(@_)</c:formatCode>
                <c:ptCount val="77"/>
                <c:pt idx="0">
                  <c:v>15039.1661</c:v>
                </c:pt>
                <c:pt idx="1">
                  <c:v>13889.0407</c:v>
                </c:pt>
                <c:pt idx="2">
                  <c:v>21640.547300000002</c:v>
                </c:pt>
                <c:pt idx="3">
                  <c:v>36275.689599999998</c:v>
                </c:pt>
                <c:pt idx="4">
                  <c:v>45869.905500000001</c:v>
                </c:pt>
                <c:pt idx="5">
                  <c:v>51760.100200000001</c:v>
                </c:pt>
                <c:pt idx="6">
                  <c:v>67587.818100000004</c:v>
                </c:pt>
                <c:pt idx="7">
                  <c:v>49489.548699999999</c:v>
                </c:pt>
                <c:pt idx="8">
                  <c:v>33147.326700000005</c:v>
                </c:pt>
                <c:pt idx="9">
                  <c:v>22065.050599999999</c:v>
                </c:pt>
                <c:pt idx="10">
                  <c:v>13685.7996</c:v>
                </c:pt>
                <c:pt idx="11">
                  <c:v>12153.657999999999</c:v>
                </c:pt>
                <c:pt idx="12">
                  <c:v>13086.9529</c:v>
                </c:pt>
                <c:pt idx="13">
                  <c:v>13010.1558</c:v>
                </c:pt>
                <c:pt idx="14">
                  <c:v>16567.899799999999</c:v>
                </c:pt>
                <c:pt idx="15">
                  <c:v>29537.304400000005</c:v>
                </c:pt>
                <c:pt idx="16">
                  <c:v>49847.385800000004</c:v>
                </c:pt>
                <c:pt idx="17">
                  <c:v>60142.3194</c:v>
                </c:pt>
                <c:pt idx="18">
                  <c:v>54716.3557</c:v>
                </c:pt>
                <c:pt idx="19">
                  <c:v>46849.132299999997</c:v>
                </c:pt>
                <c:pt idx="20">
                  <c:v>35284.890699999996</c:v>
                </c:pt>
                <c:pt idx="21">
                  <c:v>21613.571199999998</c:v>
                </c:pt>
                <c:pt idx="22">
                  <c:v>14390.172899999998</c:v>
                </c:pt>
                <c:pt idx="23">
                  <c:v>13254.911100000001</c:v>
                </c:pt>
                <c:pt idx="24">
                  <c:v>11491.079</c:v>
                </c:pt>
                <c:pt idx="25">
                  <c:v>14541.3343</c:v>
                </c:pt>
                <c:pt idx="26">
                  <c:v>22666.082899999998</c:v>
                </c:pt>
                <c:pt idx="27">
                  <c:v>36283.054100000001</c:v>
                </c:pt>
                <c:pt idx="28">
                  <c:v>60379.450899999996</c:v>
                </c:pt>
                <c:pt idx="29">
                  <c:v>59615.078800000003</c:v>
                </c:pt>
                <c:pt idx="30">
                  <c:v>62342.497700000007</c:v>
                </c:pt>
                <c:pt idx="31">
                  <c:v>52020.748</c:v>
                </c:pt>
                <c:pt idx="32">
                  <c:v>37640.168799999999</c:v>
                </c:pt>
                <c:pt idx="33">
                  <c:v>21998.2929</c:v>
                </c:pt>
                <c:pt idx="34">
                  <c:v>14688.573900000001</c:v>
                </c:pt>
                <c:pt idx="35">
                  <c:v>13506.171699999999</c:v>
                </c:pt>
                <c:pt idx="36">
                  <c:v>13892.954</c:v>
                </c:pt>
                <c:pt idx="37">
                  <c:v>15470.269</c:v>
                </c:pt>
                <c:pt idx="38">
                  <c:v>23051.412100000001</c:v>
                </c:pt>
                <c:pt idx="39">
                  <c:v>34850.851999999999</c:v>
                </c:pt>
                <c:pt idx="40">
                  <c:v>56253.834900000002</c:v>
                </c:pt>
                <c:pt idx="41">
                  <c:v>77234.172600000005</c:v>
                </c:pt>
                <c:pt idx="42">
                  <c:v>70832.408200000005</c:v>
                </c:pt>
                <c:pt idx="43">
                  <c:v>58583.115599999997</c:v>
                </c:pt>
                <c:pt idx="44">
                  <c:v>29726.42</c:v>
                </c:pt>
                <c:pt idx="45">
                  <c:v>18770.12</c:v>
                </c:pt>
                <c:pt idx="46">
                  <c:v>13360.53</c:v>
                </c:pt>
                <c:pt idx="47">
                  <c:v>11791.66</c:v>
                </c:pt>
                <c:pt idx="48">
                  <c:v>10995.94</c:v>
                </c:pt>
                <c:pt idx="49">
                  <c:v>14221.61</c:v>
                </c:pt>
                <c:pt idx="50">
                  <c:v>17709.560000000001</c:v>
                </c:pt>
                <c:pt idx="51">
                  <c:v>28637.02</c:v>
                </c:pt>
                <c:pt idx="52">
                  <c:v>64807.49</c:v>
                </c:pt>
                <c:pt idx="53">
                  <c:v>70196.39</c:v>
                </c:pt>
                <c:pt idx="54">
                  <c:v>60505.61</c:v>
                </c:pt>
                <c:pt idx="55">
                  <c:v>44033.13</c:v>
                </c:pt>
                <c:pt idx="56">
                  <c:v>35485.29</c:v>
                </c:pt>
                <c:pt idx="57">
                  <c:v>20260.29</c:v>
                </c:pt>
                <c:pt idx="58">
                  <c:v>12791.51</c:v>
                </c:pt>
                <c:pt idx="59">
                  <c:v>11315.54</c:v>
                </c:pt>
                <c:pt idx="60">
                  <c:v>11747.54</c:v>
                </c:pt>
                <c:pt idx="61">
                  <c:v>14563.57</c:v>
                </c:pt>
                <c:pt idx="62">
                  <c:v>19702.599999999999</c:v>
                </c:pt>
                <c:pt idx="63">
                  <c:v>32152.91</c:v>
                </c:pt>
                <c:pt idx="64">
                  <c:v>41637.42</c:v>
                </c:pt>
                <c:pt idx="65">
                  <c:v>52798.57</c:v>
                </c:pt>
                <c:pt idx="66">
                  <c:v>49382.74</c:v>
                </c:pt>
                <c:pt idx="67">
                  <c:v>40942.800000000003</c:v>
                </c:pt>
                <c:pt idx="68">
                  <c:v>24320.54</c:v>
                </c:pt>
                <c:pt idx="69">
                  <c:v>20206.2</c:v>
                </c:pt>
                <c:pt idx="70">
                  <c:v>13182.63</c:v>
                </c:pt>
                <c:pt idx="71">
                  <c:v>13371.45</c:v>
                </c:pt>
                <c:pt idx="72">
                  <c:v>11279.33</c:v>
                </c:pt>
                <c:pt idx="73">
                  <c:v>14083.57</c:v>
                </c:pt>
                <c:pt idx="74">
                  <c:v>20512.97</c:v>
                </c:pt>
                <c:pt idx="75">
                  <c:v>37771.730000000003</c:v>
                </c:pt>
                <c:pt idx="76">
                  <c:v>45215.31</c:v>
                </c:pt>
              </c:numCache>
            </c:numRef>
          </c:val>
        </c:ser>
        <c:ser>
          <c:idx val="0"/>
          <c:order val="1"/>
          <c:tx>
            <c:strRef>
              <c:f>'ATMOS NG Calculations'!$B$32</c:f>
              <c:strCache>
                <c:ptCount val="1"/>
                <c:pt idx="0">
                  <c:v>Trans</c:v>
                </c:pt>
              </c:strCache>
            </c:strRef>
          </c:tx>
          <c:spPr>
            <a:ln>
              <a:solidFill>
                <a:schemeClr val="accent6">
                  <a:lumMod val="50000"/>
                </a:schemeClr>
              </a:solidFill>
            </a:ln>
          </c:spPr>
          <c:marker>
            <c:symbol val="none"/>
          </c:marker>
          <c:cat>
            <c:numRef>
              <c:f>'ATMOS NG Calculations'!$J$26:$CH$26</c:f>
              <c:numCache>
                <c:formatCode>[$-409]mmm\-yy;@</c:formatCode>
                <c:ptCount val="77"/>
                <c:pt idx="0">
                  <c:v>38930</c:v>
                </c:pt>
                <c:pt idx="1">
                  <c:v>38961</c:v>
                </c:pt>
                <c:pt idx="2">
                  <c:v>38991</c:v>
                </c:pt>
                <c:pt idx="3">
                  <c:v>39022</c:v>
                </c:pt>
                <c:pt idx="4">
                  <c:v>39052</c:v>
                </c:pt>
                <c:pt idx="5">
                  <c:v>39083</c:v>
                </c:pt>
                <c:pt idx="6">
                  <c:v>39114</c:v>
                </c:pt>
                <c:pt idx="7">
                  <c:v>39142</c:v>
                </c:pt>
                <c:pt idx="8">
                  <c:v>39173</c:v>
                </c:pt>
                <c:pt idx="9">
                  <c:v>39203</c:v>
                </c:pt>
                <c:pt idx="10">
                  <c:v>39234</c:v>
                </c:pt>
                <c:pt idx="11">
                  <c:v>39264</c:v>
                </c:pt>
                <c:pt idx="12">
                  <c:v>39295</c:v>
                </c:pt>
                <c:pt idx="13">
                  <c:v>39326</c:v>
                </c:pt>
                <c:pt idx="14">
                  <c:v>39356</c:v>
                </c:pt>
                <c:pt idx="15">
                  <c:v>39387</c:v>
                </c:pt>
                <c:pt idx="16">
                  <c:v>39417</c:v>
                </c:pt>
                <c:pt idx="17">
                  <c:v>39448</c:v>
                </c:pt>
                <c:pt idx="18">
                  <c:v>39479</c:v>
                </c:pt>
                <c:pt idx="19">
                  <c:v>39508</c:v>
                </c:pt>
                <c:pt idx="20">
                  <c:v>39539</c:v>
                </c:pt>
                <c:pt idx="21">
                  <c:v>39569</c:v>
                </c:pt>
                <c:pt idx="22">
                  <c:v>39600</c:v>
                </c:pt>
                <c:pt idx="23">
                  <c:v>39630</c:v>
                </c:pt>
                <c:pt idx="24">
                  <c:v>39661</c:v>
                </c:pt>
                <c:pt idx="25">
                  <c:v>39692</c:v>
                </c:pt>
                <c:pt idx="26">
                  <c:v>39722</c:v>
                </c:pt>
                <c:pt idx="27">
                  <c:v>39753</c:v>
                </c:pt>
                <c:pt idx="28">
                  <c:v>39783</c:v>
                </c:pt>
                <c:pt idx="29">
                  <c:v>39814</c:v>
                </c:pt>
                <c:pt idx="30">
                  <c:v>39845</c:v>
                </c:pt>
                <c:pt idx="31">
                  <c:v>39873</c:v>
                </c:pt>
                <c:pt idx="32">
                  <c:v>39904</c:v>
                </c:pt>
                <c:pt idx="33">
                  <c:v>39934</c:v>
                </c:pt>
                <c:pt idx="34">
                  <c:v>39965</c:v>
                </c:pt>
                <c:pt idx="35">
                  <c:v>39995</c:v>
                </c:pt>
                <c:pt idx="36">
                  <c:v>40026</c:v>
                </c:pt>
                <c:pt idx="37">
                  <c:v>40057</c:v>
                </c:pt>
                <c:pt idx="38">
                  <c:v>40087</c:v>
                </c:pt>
                <c:pt idx="39">
                  <c:v>40118</c:v>
                </c:pt>
                <c:pt idx="40">
                  <c:v>40148</c:v>
                </c:pt>
                <c:pt idx="41">
                  <c:v>40179</c:v>
                </c:pt>
                <c:pt idx="42">
                  <c:v>40210</c:v>
                </c:pt>
                <c:pt idx="43">
                  <c:v>40238</c:v>
                </c:pt>
                <c:pt idx="44">
                  <c:v>40269</c:v>
                </c:pt>
                <c:pt idx="45">
                  <c:v>40299</c:v>
                </c:pt>
                <c:pt idx="46">
                  <c:v>40330</c:v>
                </c:pt>
                <c:pt idx="47">
                  <c:v>40360</c:v>
                </c:pt>
                <c:pt idx="48">
                  <c:v>40391</c:v>
                </c:pt>
                <c:pt idx="49">
                  <c:v>40422</c:v>
                </c:pt>
                <c:pt idx="50">
                  <c:v>40452</c:v>
                </c:pt>
                <c:pt idx="51">
                  <c:v>40483</c:v>
                </c:pt>
                <c:pt idx="52">
                  <c:v>40513</c:v>
                </c:pt>
                <c:pt idx="53">
                  <c:v>40544</c:v>
                </c:pt>
                <c:pt idx="54">
                  <c:v>40575</c:v>
                </c:pt>
                <c:pt idx="55">
                  <c:v>40603</c:v>
                </c:pt>
                <c:pt idx="56">
                  <c:v>40634</c:v>
                </c:pt>
                <c:pt idx="57">
                  <c:v>40664</c:v>
                </c:pt>
                <c:pt idx="58">
                  <c:v>40695</c:v>
                </c:pt>
                <c:pt idx="59">
                  <c:v>40725</c:v>
                </c:pt>
                <c:pt idx="60">
                  <c:v>40756</c:v>
                </c:pt>
                <c:pt idx="61">
                  <c:v>40787</c:v>
                </c:pt>
                <c:pt idx="62">
                  <c:v>40817</c:v>
                </c:pt>
                <c:pt idx="63">
                  <c:v>40848</c:v>
                </c:pt>
                <c:pt idx="64">
                  <c:v>40878</c:v>
                </c:pt>
                <c:pt idx="65">
                  <c:v>40909</c:v>
                </c:pt>
                <c:pt idx="66">
                  <c:v>40940</c:v>
                </c:pt>
                <c:pt idx="67">
                  <c:v>40969</c:v>
                </c:pt>
                <c:pt idx="68">
                  <c:v>41000</c:v>
                </c:pt>
                <c:pt idx="69">
                  <c:v>41030</c:v>
                </c:pt>
                <c:pt idx="70">
                  <c:v>41061</c:v>
                </c:pt>
                <c:pt idx="71">
                  <c:v>41091</c:v>
                </c:pt>
                <c:pt idx="72">
                  <c:v>41122</c:v>
                </c:pt>
                <c:pt idx="73">
                  <c:v>41153</c:v>
                </c:pt>
                <c:pt idx="74">
                  <c:v>41183</c:v>
                </c:pt>
                <c:pt idx="75">
                  <c:v>41214</c:v>
                </c:pt>
                <c:pt idx="76">
                  <c:v>41244</c:v>
                </c:pt>
              </c:numCache>
            </c:numRef>
          </c:cat>
          <c:val>
            <c:numRef>
              <c:f>'ATMOS NG Calculations'!$J$32:$CH$32</c:f>
              <c:numCache>
                <c:formatCode>_(* #,##0_);_(* \(#,##0\);_(* "-"??_);_(@_)</c:formatCode>
                <c:ptCount val="77"/>
                <c:pt idx="0">
                  <c:v>35575</c:v>
                </c:pt>
                <c:pt idx="1">
                  <c:v>37014</c:v>
                </c:pt>
                <c:pt idx="2">
                  <c:v>41645</c:v>
                </c:pt>
                <c:pt idx="3">
                  <c:v>23024</c:v>
                </c:pt>
                <c:pt idx="4">
                  <c:v>29306</c:v>
                </c:pt>
                <c:pt idx="5">
                  <c:v>7377</c:v>
                </c:pt>
                <c:pt idx="6">
                  <c:v>22101</c:v>
                </c:pt>
                <c:pt idx="7">
                  <c:v>12791</c:v>
                </c:pt>
                <c:pt idx="8">
                  <c:v>1067</c:v>
                </c:pt>
                <c:pt idx="9">
                  <c:v>2883</c:v>
                </c:pt>
                <c:pt idx="10">
                  <c:v>24100</c:v>
                </c:pt>
                <c:pt idx="11">
                  <c:v>38621</c:v>
                </c:pt>
                <c:pt idx="12">
                  <c:v>39161</c:v>
                </c:pt>
                <c:pt idx="13">
                  <c:v>35469</c:v>
                </c:pt>
                <c:pt idx="14">
                  <c:v>42054</c:v>
                </c:pt>
                <c:pt idx="15">
                  <c:v>21486</c:v>
                </c:pt>
                <c:pt idx="16">
                  <c:v>24596</c:v>
                </c:pt>
                <c:pt idx="17">
                  <c:v>15469.395</c:v>
                </c:pt>
                <c:pt idx="18">
                  <c:v>4394</c:v>
                </c:pt>
                <c:pt idx="19">
                  <c:v>1719</c:v>
                </c:pt>
                <c:pt idx="20">
                  <c:v>17781</c:v>
                </c:pt>
                <c:pt idx="21">
                  <c:v>17811</c:v>
                </c:pt>
                <c:pt idx="22">
                  <c:v>4058</c:v>
                </c:pt>
                <c:pt idx="23">
                  <c:v>269</c:v>
                </c:pt>
                <c:pt idx="24">
                  <c:v>450</c:v>
                </c:pt>
                <c:pt idx="25">
                  <c:v>17049</c:v>
                </c:pt>
                <c:pt idx="26">
                  <c:v>5349</c:v>
                </c:pt>
                <c:pt idx="27">
                  <c:v>18573</c:v>
                </c:pt>
                <c:pt idx="28">
                  <c:v>44771</c:v>
                </c:pt>
                <c:pt idx="29">
                  <c:v>5957</c:v>
                </c:pt>
                <c:pt idx="30">
                  <c:v>2430</c:v>
                </c:pt>
                <c:pt idx="31">
                  <c:v>753</c:v>
                </c:pt>
                <c:pt idx="32">
                  <c:v>9891</c:v>
                </c:pt>
                <c:pt idx="33">
                  <c:v>25111</c:v>
                </c:pt>
                <c:pt idx="34">
                  <c:v>13002</c:v>
                </c:pt>
                <c:pt idx="35">
                  <c:v>1</c:v>
                </c:pt>
                <c:pt idx="36">
                  <c:v>21</c:v>
                </c:pt>
                <c:pt idx="37">
                  <c:v>0</c:v>
                </c:pt>
                <c:pt idx="38">
                  <c:v>23231</c:v>
                </c:pt>
                <c:pt idx="39">
                  <c:v>10840</c:v>
                </c:pt>
                <c:pt idx="40">
                  <c:v>2460</c:v>
                </c:pt>
                <c:pt idx="41">
                  <c:v>16388</c:v>
                </c:pt>
                <c:pt idx="42">
                  <c:v>17949</c:v>
                </c:pt>
                <c:pt idx="43">
                  <c:v>19235</c:v>
                </c:pt>
                <c:pt idx="44">
                  <c:v>19108</c:v>
                </c:pt>
                <c:pt idx="45">
                  <c:v>16658</c:v>
                </c:pt>
                <c:pt idx="46">
                  <c:v>16347</c:v>
                </c:pt>
                <c:pt idx="47">
                  <c:v>17066</c:v>
                </c:pt>
                <c:pt idx="48">
                  <c:v>16787</c:v>
                </c:pt>
                <c:pt idx="49">
                  <c:v>19147</c:v>
                </c:pt>
                <c:pt idx="50">
                  <c:v>15061</c:v>
                </c:pt>
                <c:pt idx="51">
                  <c:v>52034</c:v>
                </c:pt>
                <c:pt idx="52">
                  <c:v>27004</c:v>
                </c:pt>
                <c:pt idx="53">
                  <c:v>17580</c:v>
                </c:pt>
                <c:pt idx="54">
                  <c:v>25914</c:v>
                </c:pt>
                <c:pt idx="55">
                  <c:v>24706</c:v>
                </c:pt>
                <c:pt idx="56">
                  <c:v>20902</c:v>
                </c:pt>
                <c:pt idx="57">
                  <c:v>16614</c:v>
                </c:pt>
                <c:pt idx="58">
                  <c:v>16763</c:v>
                </c:pt>
                <c:pt idx="59">
                  <c:v>31358</c:v>
                </c:pt>
                <c:pt idx="60">
                  <c:v>13056</c:v>
                </c:pt>
                <c:pt idx="61">
                  <c:v>15435</c:v>
                </c:pt>
                <c:pt idx="62">
                  <c:v>13202</c:v>
                </c:pt>
                <c:pt idx="63">
                  <c:v>13033</c:v>
                </c:pt>
                <c:pt idx="64">
                  <c:v>14900</c:v>
                </c:pt>
                <c:pt idx="65">
                  <c:v>15492</c:v>
                </c:pt>
                <c:pt idx="66">
                  <c:v>22866</c:v>
                </c:pt>
                <c:pt idx="67">
                  <c:v>20625</c:v>
                </c:pt>
                <c:pt idx="68">
                  <c:v>23647</c:v>
                </c:pt>
                <c:pt idx="69">
                  <c:v>34271</c:v>
                </c:pt>
                <c:pt idx="70">
                  <c:v>61028</c:v>
                </c:pt>
                <c:pt idx="71">
                  <c:v>56387</c:v>
                </c:pt>
                <c:pt idx="72">
                  <c:v>38610</c:v>
                </c:pt>
                <c:pt idx="73">
                  <c:v>59428</c:v>
                </c:pt>
                <c:pt idx="74">
                  <c:v>73597</c:v>
                </c:pt>
                <c:pt idx="75">
                  <c:v>87618</c:v>
                </c:pt>
                <c:pt idx="76">
                  <c:v>57415</c:v>
                </c:pt>
              </c:numCache>
            </c:numRef>
          </c:val>
        </c:ser>
        <c:ser>
          <c:idx val="2"/>
          <c:order val="2"/>
          <c:tx>
            <c:strRef>
              <c:f>'ATMOS NG Calculations'!$B$27</c:f>
              <c:strCache>
                <c:ptCount val="1"/>
                <c:pt idx="0">
                  <c:v>VT Buildings</c:v>
                </c:pt>
              </c:strCache>
            </c:strRef>
          </c:tx>
          <c:spPr>
            <a:ln>
              <a:solidFill>
                <a:schemeClr val="accent3">
                  <a:lumMod val="75000"/>
                </a:schemeClr>
              </a:solidFill>
            </a:ln>
          </c:spPr>
          <c:marker>
            <c:symbol val="none"/>
          </c:marker>
          <c:cat>
            <c:numRef>
              <c:f>'ATMOS NG Calculations'!$J$26:$CH$26</c:f>
              <c:numCache>
                <c:formatCode>[$-409]mmm\-yy;@</c:formatCode>
                <c:ptCount val="77"/>
                <c:pt idx="0">
                  <c:v>38930</c:v>
                </c:pt>
                <c:pt idx="1">
                  <c:v>38961</c:v>
                </c:pt>
                <c:pt idx="2">
                  <c:v>38991</c:v>
                </c:pt>
                <c:pt idx="3">
                  <c:v>39022</c:v>
                </c:pt>
                <c:pt idx="4">
                  <c:v>39052</c:v>
                </c:pt>
                <c:pt idx="5">
                  <c:v>39083</c:v>
                </c:pt>
                <c:pt idx="6">
                  <c:v>39114</c:v>
                </c:pt>
                <c:pt idx="7">
                  <c:v>39142</c:v>
                </c:pt>
                <c:pt idx="8">
                  <c:v>39173</c:v>
                </c:pt>
                <c:pt idx="9">
                  <c:v>39203</c:v>
                </c:pt>
                <c:pt idx="10">
                  <c:v>39234</c:v>
                </c:pt>
                <c:pt idx="11">
                  <c:v>39264</c:v>
                </c:pt>
                <c:pt idx="12">
                  <c:v>39295</c:v>
                </c:pt>
                <c:pt idx="13">
                  <c:v>39326</c:v>
                </c:pt>
                <c:pt idx="14">
                  <c:v>39356</c:v>
                </c:pt>
                <c:pt idx="15">
                  <c:v>39387</c:v>
                </c:pt>
                <c:pt idx="16">
                  <c:v>39417</c:v>
                </c:pt>
                <c:pt idx="17">
                  <c:v>39448</c:v>
                </c:pt>
                <c:pt idx="18">
                  <c:v>39479</c:v>
                </c:pt>
                <c:pt idx="19">
                  <c:v>39508</c:v>
                </c:pt>
                <c:pt idx="20">
                  <c:v>39539</c:v>
                </c:pt>
                <c:pt idx="21">
                  <c:v>39569</c:v>
                </c:pt>
                <c:pt idx="22">
                  <c:v>39600</c:v>
                </c:pt>
                <c:pt idx="23">
                  <c:v>39630</c:v>
                </c:pt>
                <c:pt idx="24">
                  <c:v>39661</c:v>
                </c:pt>
                <c:pt idx="25">
                  <c:v>39692</c:v>
                </c:pt>
                <c:pt idx="26">
                  <c:v>39722</c:v>
                </c:pt>
                <c:pt idx="27">
                  <c:v>39753</c:v>
                </c:pt>
                <c:pt idx="28">
                  <c:v>39783</c:v>
                </c:pt>
                <c:pt idx="29">
                  <c:v>39814</c:v>
                </c:pt>
                <c:pt idx="30">
                  <c:v>39845</c:v>
                </c:pt>
                <c:pt idx="31">
                  <c:v>39873</c:v>
                </c:pt>
                <c:pt idx="32">
                  <c:v>39904</c:v>
                </c:pt>
                <c:pt idx="33">
                  <c:v>39934</c:v>
                </c:pt>
                <c:pt idx="34">
                  <c:v>39965</c:v>
                </c:pt>
                <c:pt idx="35">
                  <c:v>39995</c:v>
                </c:pt>
                <c:pt idx="36">
                  <c:v>40026</c:v>
                </c:pt>
                <c:pt idx="37">
                  <c:v>40057</c:v>
                </c:pt>
                <c:pt idx="38">
                  <c:v>40087</c:v>
                </c:pt>
                <c:pt idx="39">
                  <c:v>40118</c:v>
                </c:pt>
                <c:pt idx="40">
                  <c:v>40148</c:v>
                </c:pt>
                <c:pt idx="41">
                  <c:v>40179</c:v>
                </c:pt>
                <c:pt idx="42">
                  <c:v>40210</c:v>
                </c:pt>
                <c:pt idx="43">
                  <c:v>40238</c:v>
                </c:pt>
                <c:pt idx="44">
                  <c:v>40269</c:v>
                </c:pt>
                <c:pt idx="45">
                  <c:v>40299</c:v>
                </c:pt>
                <c:pt idx="46">
                  <c:v>40330</c:v>
                </c:pt>
                <c:pt idx="47">
                  <c:v>40360</c:v>
                </c:pt>
                <c:pt idx="48">
                  <c:v>40391</c:v>
                </c:pt>
                <c:pt idx="49">
                  <c:v>40422</c:v>
                </c:pt>
                <c:pt idx="50">
                  <c:v>40452</c:v>
                </c:pt>
                <c:pt idx="51">
                  <c:v>40483</c:v>
                </c:pt>
                <c:pt idx="52">
                  <c:v>40513</c:v>
                </c:pt>
                <c:pt idx="53">
                  <c:v>40544</c:v>
                </c:pt>
                <c:pt idx="54">
                  <c:v>40575</c:v>
                </c:pt>
                <c:pt idx="55">
                  <c:v>40603</c:v>
                </c:pt>
                <c:pt idx="56">
                  <c:v>40634</c:v>
                </c:pt>
                <c:pt idx="57">
                  <c:v>40664</c:v>
                </c:pt>
                <c:pt idx="58">
                  <c:v>40695</c:v>
                </c:pt>
                <c:pt idx="59">
                  <c:v>40725</c:v>
                </c:pt>
                <c:pt idx="60">
                  <c:v>40756</c:v>
                </c:pt>
                <c:pt idx="61">
                  <c:v>40787</c:v>
                </c:pt>
                <c:pt idx="62">
                  <c:v>40817</c:v>
                </c:pt>
                <c:pt idx="63">
                  <c:v>40848</c:v>
                </c:pt>
                <c:pt idx="64">
                  <c:v>40878</c:v>
                </c:pt>
                <c:pt idx="65">
                  <c:v>40909</c:v>
                </c:pt>
                <c:pt idx="66">
                  <c:v>40940</c:v>
                </c:pt>
                <c:pt idx="67">
                  <c:v>40969</c:v>
                </c:pt>
                <c:pt idx="68">
                  <c:v>41000</c:v>
                </c:pt>
                <c:pt idx="69">
                  <c:v>41030</c:v>
                </c:pt>
                <c:pt idx="70">
                  <c:v>41061</c:v>
                </c:pt>
                <c:pt idx="71">
                  <c:v>41091</c:v>
                </c:pt>
                <c:pt idx="72">
                  <c:v>41122</c:v>
                </c:pt>
                <c:pt idx="73">
                  <c:v>41153</c:v>
                </c:pt>
                <c:pt idx="74">
                  <c:v>41183</c:v>
                </c:pt>
                <c:pt idx="75">
                  <c:v>41214</c:v>
                </c:pt>
                <c:pt idx="76">
                  <c:v>41244</c:v>
                </c:pt>
              </c:numCache>
            </c:numRef>
          </c:cat>
          <c:val>
            <c:numRef>
              <c:f>'ATMOS NG Calculations'!$J$27:$CH$27</c:f>
              <c:numCache>
                <c:formatCode>[$-409]mmm\-yy;@</c:formatCode>
                <c:ptCount val="77"/>
                <c:pt idx="30" formatCode="_(* #,##0_);_(* \(#,##0\);_(* &quot;-&quot;??_);_(@_)">
                  <c:v>20277.319667366774</c:v>
                </c:pt>
                <c:pt idx="31" formatCode="_(* #,##0_);_(* \(#,##0\);_(* &quot;-&quot;??_);_(@_)">
                  <c:v>19166.896698301032</c:v>
                </c:pt>
                <c:pt idx="32" formatCode="_(* #,##0_);_(* \(#,##0\);_(* &quot;-&quot;??_);_(@_)">
                  <c:v>17374.442390262397</c:v>
                </c:pt>
                <c:pt idx="33" formatCode="_(* #,##0_);_(* \(#,##0\);_(* &quot;-&quot;??_);_(@_)">
                  <c:v>12034.92398632183</c:v>
                </c:pt>
                <c:pt idx="34" formatCode="_(* #,##0_);_(* \(#,##0\);_(* &quot;-&quot;??_);_(@_)">
                  <c:v>6770.6192069790523</c:v>
                </c:pt>
                <c:pt idx="35" formatCode="_(* #,##0_);_(* \(#,##0\);_(* &quot;-&quot;??_);_(@_)">
                  <c:v>7466.9924129686287</c:v>
                </c:pt>
                <c:pt idx="36" formatCode="_(* #,##0_);_(* \(#,##0\);_(* &quot;-&quot;??_);_(@_)">
                  <c:v>4825</c:v>
                </c:pt>
                <c:pt idx="37" formatCode="_(* #,##0_);_(* \(#,##0\);_(* &quot;-&quot;??_);_(@_)">
                  <c:v>4078.3073929961092</c:v>
                </c:pt>
                <c:pt idx="38" formatCode="_(* #,##0_);_(* \(#,##0\);_(* &quot;-&quot;??_);_(@_)">
                  <c:v>6366.6342412451359</c:v>
                </c:pt>
                <c:pt idx="39" formatCode="_(* #,##0_);_(* \(#,##0\);_(* &quot;-&quot;??_);_(@_)">
                  <c:v>9894.8443579766536</c:v>
                </c:pt>
                <c:pt idx="40" formatCode="_(* #,##0_);_(* \(#,##0\);_(* &quot;-&quot;??_);_(@_)">
                  <c:v>13874.124513618677</c:v>
                </c:pt>
                <c:pt idx="41" formatCode="_(* #,##0_);_(* \(#,##0\);_(* &quot;-&quot;??_);_(@_)">
                  <c:v>20492.801556420236</c:v>
                </c:pt>
                <c:pt idx="42" formatCode="_(* #,##0_);_(* \(#,##0\);_(* &quot;-&quot;??_);_(@_)">
                  <c:v>21170.525291828792</c:v>
                </c:pt>
                <c:pt idx="43" formatCode="_(* #,##0_);_(* \(#,##0\);_(* &quot;-&quot;??_);_(@_)">
                  <c:v>20269.552529182882</c:v>
                </c:pt>
                <c:pt idx="44" formatCode="_(* #,##0_);_(* \(#,##0\);_(* &quot;-&quot;??_);_(@_)">
                  <c:v>16253.307392996108</c:v>
                </c:pt>
                <c:pt idx="45" formatCode="_(* #,##0_);_(* \(#,##0\);_(* &quot;-&quot;??_);_(@_)">
                  <c:v>12252.723735408559</c:v>
                </c:pt>
                <c:pt idx="46" formatCode="_(* #,##0_);_(* \(#,##0\);_(* &quot;-&quot;??_);_(@_)">
                  <c:v>6848.4435797665365</c:v>
                </c:pt>
                <c:pt idx="47" formatCode="_(* #,##0_);_(* \(#,##0\);_(* &quot;-&quot;??_);_(@_)">
                  <c:v>4783.8521400778209</c:v>
                </c:pt>
                <c:pt idx="48" formatCode="_(* #,##0_);_(* \(#,##0\);_(* &quot;-&quot;??_);_(@_)">
                  <c:v>4762.9377431906614</c:v>
                </c:pt>
                <c:pt idx="49" formatCode="_(* #,##0_);_(* \(#,##0\);_(* &quot;-&quot;??_);_(@_)">
                  <c:v>4337.3540856031132</c:v>
                </c:pt>
                <c:pt idx="50" formatCode="_(* #,##0_);_(* \(#,##0\);_(* &quot;-&quot;??_);_(@_)">
                  <c:v>5470.7198443579773</c:v>
                </c:pt>
                <c:pt idx="51" formatCode="_(* #,##0_);_(* \(#,##0\);_(* &quot;-&quot;??_);_(@_)">
                  <c:v>8332.6848249027225</c:v>
                </c:pt>
                <c:pt idx="52" formatCode="_(* #,##0_);_(* \(#,##0\);_(* &quot;-&quot;??_);_(@_)">
                  <c:v>13868.774319066148</c:v>
                </c:pt>
                <c:pt idx="53" formatCode="_(* #,##0_);_(* \(#,##0\);_(* &quot;-&quot;??_);_(@_)">
                  <c:v>23067.996108949417</c:v>
                </c:pt>
                <c:pt idx="54" formatCode="_(* #,##0_);_(* \(#,##0\);_(* &quot;-&quot;??_);_(@_)">
                  <c:v>19736.964980544748</c:v>
                </c:pt>
                <c:pt idx="55" formatCode="_(* #,##0_);_(* \(#,##0\);_(* &quot;-&quot;??_);_(@_)">
                  <c:v>15862.354085603114</c:v>
                </c:pt>
                <c:pt idx="56" formatCode="_(* #,##0_);_(* \(#,##0\);_(* &quot;-&quot;??_);_(@_)">
                  <c:v>13083.463035019455</c:v>
                </c:pt>
                <c:pt idx="57" formatCode="_(* #,##0_);_(* \(#,##0\);_(* &quot;-&quot;??_);_(@_)">
                  <c:v>11266.147859922179</c:v>
                </c:pt>
                <c:pt idx="58" formatCode="_(* #,##0_);_(* \(#,##0\);_(* &quot;-&quot;??_);_(@_)">
                  <c:v>7149.4163424124508</c:v>
                </c:pt>
                <c:pt idx="59" formatCode="_(* #,##0_);_(* \(#,##0\);_(* &quot;-&quot;??_);_(@_)">
                  <c:v>3075.6809338521398</c:v>
                </c:pt>
                <c:pt idx="60" formatCode="_(* #,##0_);_(* \(#,##0\);_(* &quot;-&quot;??_);_(@_)">
                  <c:v>3097.8167315175097</c:v>
                </c:pt>
                <c:pt idx="61" formatCode="_(* #,##0_);_(* \(#,##0\);_(* &quot;-&quot;??_);_(@_)">
                  <c:v>5199.8700389105052</c:v>
                </c:pt>
                <c:pt idx="62" formatCode="_(* #,##0_);_(* \(#,##0\);_(* &quot;-&quot;??_);_(@_)">
                  <c:v>7559.3741245136189</c:v>
                </c:pt>
                <c:pt idx="63" formatCode="_(* #,##0_);_(* \(#,##0\);_(* &quot;-&quot;??_);_(@_)">
                  <c:v>8749.2252918287941</c:v>
                </c:pt>
                <c:pt idx="64" formatCode="_(* #,##0_);_(* \(#,##0\);_(* &quot;-&quot;??_);_(@_)">
                  <c:v>13452.546498054473</c:v>
                </c:pt>
                <c:pt idx="65" formatCode="_(* #,##0_);_(* \(#,##0\);_(* &quot;-&quot;??_);_(@_)">
                  <c:v>15281.564591439688</c:v>
                </c:pt>
                <c:pt idx="66" formatCode="_(* #,##0_);_(* \(#,##0\);_(* &quot;-&quot;??_);_(@_)">
                  <c:v>17070.288715953306</c:v>
                </c:pt>
                <c:pt idx="67" formatCode="_(* #,##0_);_(* \(#,##0\);_(* &quot;-&quot;??_);_(@_)">
                  <c:v>15160.682684824902</c:v>
                </c:pt>
                <c:pt idx="68" formatCode="_(* #,##0_);_(* \(#,##0\);_(* &quot;-&quot;??_);_(@_)">
                  <c:v>11727.800583657587</c:v>
                </c:pt>
                <c:pt idx="69" formatCode="_(* #,##0_);_(* \(#,##0\);_(* &quot;-&quot;??_);_(@_)">
                  <c:v>8455.0690661478602</c:v>
                </c:pt>
                <c:pt idx="70" formatCode="_(* #,##0_);_(* \(#,##0\);_(* &quot;-&quot;??_);_(@_)">
                  <c:v>6316.105252918288</c:v>
                </c:pt>
                <c:pt idx="71" formatCode="_(* #,##0_);_(* \(#,##0\);_(* &quot;-&quot;??_);_(@_)">
                  <c:v>3987.8725680933853</c:v>
                </c:pt>
                <c:pt idx="72" formatCode="_(* #,##0_);_(* \(#,##0\);_(* &quot;-&quot;??_);_(@_)">
                  <c:v>3900.6202334630352</c:v>
                </c:pt>
                <c:pt idx="73" formatCode="_(* #,##0_);_(* \(#,##0\);_(* &quot;-&quot;??_);_(@_)">
                  <c:v>5222.2214007782095</c:v>
                </c:pt>
                <c:pt idx="74" formatCode="_(* #,##0_);_(* \(#,##0\);_(* &quot;-&quot;??_);_(@_)">
                  <c:v>5695.2910505836571</c:v>
                </c:pt>
                <c:pt idx="75" formatCode="_(* #,##0_);_(* \(#,##0\);_(* &quot;-&quot;??_);_(@_)">
                  <c:v>9121.9188715953314</c:v>
                </c:pt>
                <c:pt idx="76" formatCode="_(* #,##0_);_(* \(#,##0\);_(* &quot;-&quot;??_);_(@_)">
                  <c:v>16488.948249027238</c:v>
                </c:pt>
              </c:numCache>
            </c:numRef>
          </c:val>
        </c:ser>
        <c:ser>
          <c:idx val="3"/>
          <c:order val="3"/>
          <c:tx>
            <c:strRef>
              <c:f>'ATMOS NG Calculations'!$B$28</c:f>
              <c:strCache>
                <c:ptCount val="1"/>
                <c:pt idx="0">
                  <c:v>VT Steam Plant</c:v>
                </c:pt>
              </c:strCache>
            </c:strRef>
          </c:tx>
          <c:spPr>
            <a:ln>
              <a:solidFill>
                <a:schemeClr val="accent6">
                  <a:lumMod val="75000"/>
                </a:schemeClr>
              </a:solidFill>
            </a:ln>
          </c:spPr>
          <c:marker>
            <c:symbol val="none"/>
          </c:marker>
          <c:cat>
            <c:numRef>
              <c:f>'ATMOS NG Calculations'!$J$26:$CH$26</c:f>
              <c:numCache>
                <c:formatCode>[$-409]mmm\-yy;@</c:formatCode>
                <c:ptCount val="77"/>
                <c:pt idx="0">
                  <c:v>38930</c:v>
                </c:pt>
                <c:pt idx="1">
                  <c:v>38961</c:v>
                </c:pt>
                <c:pt idx="2">
                  <c:v>38991</c:v>
                </c:pt>
                <c:pt idx="3">
                  <c:v>39022</c:v>
                </c:pt>
                <c:pt idx="4">
                  <c:v>39052</c:v>
                </c:pt>
                <c:pt idx="5">
                  <c:v>39083</c:v>
                </c:pt>
                <c:pt idx="6">
                  <c:v>39114</c:v>
                </c:pt>
                <c:pt idx="7">
                  <c:v>39142</c:v>
                </c:pt>
                <c:pt idx="8">
                  <c:v>39173</c:v>
                </c:pt>
                <c:pt idx="9">
                  <c:v>39203</c:v>
                </c:pt>
                <c:pt idx="10">
                  <c:v>39234</c:v>
                </c:pt>
                <c:pt idx="11">
                  <c:v>39264</c:v>
                </c:pt>
                <c:pt idx="12">
                  <c:v>39295</c:v>
                </c:pt>
                <c:pt idx="13">
                  <c:v>39326</c:v>
                </c:pt>
                <c:pt idx="14">
                  <c:v>39356</c:v>
                </c:pt>
                <c:pt idx="15">
                  <c:v>39387</c:v>
                </c:pt>
                <c:pt idx="16">
                  <c:v>39417</c:v>
                </c:pt>
                <c:pt idx="17">
                  <c:v>39448</c:v>
                </c:pt>
                <c:pt idx="18">
                  <c:v>39479</c:v>
                </c:pt>
                <c:pt idx="19">
                  <c:v>39508</c:v>
                </c:pt>
                <c:pt idx="20">
                  <c:v>39539</c:v>
                </c:pt>
                <c:pt idx="21">
                  <c:v>39569</c:v>
                </c:pt>
                <c:pt idx="22">
                  <c:v>39600</c:v>
                </c:pt>
                <c:pt idx="23">
                  <c:v>39630</c:v>
                </c:pt>
                <c:pt idx="24">
                  <c:v>39661</c:v>
                </c:pt>
                <c:pt idx="25">
                  <c:v>39692</c:v>
                </c:pt>
                <c:pt idx="26">
                  <c:v>39722</c:v>
                </c:pt>
                <c:pt idx="27">
                  <c:v>39753</c:v>
                </c:pt>
                <c:pt idx="28">
                  <c:v>39783</c:v>
                </c:pt>
                <c:pt idx="29">
                  <c:v>39814</c:v>
                </c:pt>
                <c:pt idx="30">
                  <c:v>39845</c:v>
                </c:pt>
                <c:pt idx="31">
                  <c:v>39873</c:v>
                </c:pt>
                <c:pt idx="32">
                  <c:v>39904</c:v>
                </c:pt>
                <c:pt idx="33">
                  <c:v>39934</c:v>
                </c:pt>
                <c:pt idx="34">
                  <c:v>39965</c:v>
                </c:pt>
                <c:pt idx="35">
                  <c:v>39995</c:v>
                </c:pt>
                <c:pt idx="36">
                  <c:v>40026</c:v>
                </c:pt>
                <c:pt idx="37">
                  <c:v>40057</c:v>
                </c:pt>
                <c:pt idx="38">
                  <c:v>40087</c:v>
                </c:pt>
                <c:pt idx="39">
                  <c:v>40118</c:v>
                </c:pt>
                <c:pt idx="40">
                  <c:v>40148</c:v>
                </c:pt>
                <c:pt idx="41">
                  <c:v>40179</c:v>
                </c:pt>
                <c:pt idx="42">
                  <c:v>40210</c:v>
                </c:pt>
                <c:pt idx="43">
                  <c:v>40238</c:v>
                </c:pt>
                <c:pt idx="44">
                  <c:v>40269</c:v>
                </c:pt>
                <c:pt idx="45">
                  <c:v>40299</c:v>
                </c:pt>
                <c:pt idx="46">
                  <c:v>40330</c:v>
                </c:pt>
                <c:pt idx="47">
                  <c:v>40360</c:v>
                </c:pt>
                <c:pt idx="48">
                  <c:v>40391</c:v>
                </c:pt>
                <c:pt idx="49">
                  <c:v>40422</c:v>
                </c:pt>
                <c:pt idx="50">
                  <c:v>40452</c:v>
                </c:pt>
                <c:pt idx="51">
                  <c:v>40483</c:v>
                </c:pt>
                <c:pt idx="52">
                  <c:v>40513</c:v>
                </c:pt>
                <c:pt idx="53">
                  <c:v>40544</c:v>
                </c:pt>
                <c:pt idx="54">
                  <c:v>40575</c:v>
                </c:pt>
                <c:pt idx="55">
                  <c:v>40603</c:v>
                </c:pt>
                <c:pt idx="56">
                  <c:v>40634</c:v>
                </c:pt>
                <c:pt idx="57">
                  <c:v>40664</c:v>
                </c:pt>
                <c:pt idx="58">
                  <c:v>40695</c:v>
                </c:pt>
                <c:pt idx="59">
                  <c:v>40725</c:v>
                </c:pt>
                <c:pt idx="60">
                  <c:v>40756</c:v>
                </c:pt>
                <c:pt idx="61">
                  <c:v>40787</c:v>
                </c:pt>
                <c:pt idx="62">
                  <c:v>40817</c:v>
                </c:pt>
                <c:pt idx="63">
                  <c:v>40848</c:v>
                </c:pt>
                <c:pt idx="64">
                  <c:v>40878</c:v>
                </c:pt>
                <c:pt idx="65">
                  <c:v>40909</c:v>
                </c:pt>
                <c:pt idx="66">
                  <c:v>40940</c:v>
                </c:pt>
                <c:pt idx="67">
                  <c:v>40969</c:v>
                </c:pt>
                <c:pt idx="68">
                  <c:v>41000</c:v>
                </c:pt>
                <c:pt idx="69">
                  <c:v>41030</c:v>
                </c:pt>
                <c:pt idx="70">
                  <c:v>41061</c:v>
                </c:pt>
                <c:pt idx="71">
                  <c:v>41091</c:v>
                </c:pt>
                <c:pt idx="72">
                  <c:v>41122</c:v>
                </c:pt>
                <c:pt idx="73">
                  <c:v>41153</c:v>
                </c:pt>
                <c:pt idx="74">
                  <c:v>41183</c:v>
                </c:pt>
                <c:pt idx="75">
                  <c:v>41214</c:v>
                </c:pt>
                <c:pt idx="76">
                  <c:v>41244</c:v>
                </c:pt>
              </c:numCache>
            </c:numRef>
          </c:cat>
          <c:val>
            <c:numRef>
              <c:f>'ATMOS NG Calculations'!$J$28:$CH$28</c:f>
              <c:numCache>
                <c:formatCode>[$-409]mmm\-yy;@</c:formatCode>
                <c:ptCount val="77"/>
                <c:pt idx="29" formatCode="0.00">
                  <c:v>5000</c:v>
                </c:pt>
                <c:pt idx="30" formatCode="_(* #,##0_);_(* \(#,##0\);_(* &quot;-&quot;??_);_(@_)">
                  <c:v>2363.8132295719843</c:v>
                </c:pt>
                <c:pt idx="31" formatCode="_(* #,##0_);_(* \(#,##0\);_(* &quot;-&quot;??_);_(@_)">
                  <c:v>732.49027237354085</c:v>
                </c:pt>
                <c:pt idx="32" formatCode="_(* #,##0_);_(* \(#,##0\);_(* &quot;-&quot;??_);_(@_)">
                  <c:v>9621.5953307392992</c:v>
                </c:pt>
                <c:pt idx="33" formatCode="_(* #,##0_);_(* \(#,##0\);_(* &quot;-&quot;??_);_(@_)">
                  <c:v>24427.042801556421</c:v>
                </c:pt>
                <c:pt idx="34" formatCode="_(* #,##0_);_(* \(#,##0\);_(* &quot;-&quot;??_);_(@_)">
                  <c:v>1283.0739299610893</c:v>
                </c:pt>
                <c:pt idx="35" formatCode="_(* #,##0_);_(* \(#,##0\);_(* &quot;-&quot;??_);_(@_)">
                  <c:v>9.727626459143969E-2</c:v>
                </c:pt>
                <c:pt idx="36" formatCode="_(* #,##0_);_(* \(#,##0\);_(* &quot;-&quot;??_);_(@_)">
                  <c:v>20.428015564202333</c:v>
                </c:pt>
                <c:pt idx="37" formatCode="_(* #,##0_);_(* \(#,##0\);_(* &quot;-&quot;??_);_(@_)">
                  <c:v>0</c:v>
                </c:pt>
                <c:pt idx="38" formatCode="_(* #,##0_);_(* \(#,##0\);_(* &quot;-&quot;??_);_(@_)">
                  <c:v>22598.249027237354</c:v>
                </c:pt>
                <c:pt idx="39" formatCode="_(* #,##0_);_(* \(#,##0\);_(* &quot;-&quot;??_);_(@_)">
                  <c:v>10544.747081712063</c:v>
                </c:pt>
                <c:pt idx="40" formatCode="_(* #,##0_);_(* \(#,##0\);_(* &quot;-&quot;??_);_(@_)">
                  <c:v>2392.9961089494163</c:v>
                </c:pt>
                <c:pt idx="41" formatCode="_(* #,##0_);_(* \(#,##0\);_(* &quot;-&quot;??_);_(@_)">
                  <c:v>426.07003891050584</c:v>
                </c:pt>
                <c:pt idx="42" formatCode="_(* #,##0_);_(* \(#,##0\);_(* &quot;-&quot;??_);_(@_)">
                  <c:v>455.25291828793775</c:v>
                </c:pt>
                <c:pt idx="43" formatCode="_(* #,##0_);_(* \(#,##0\);_(* &quot;-&quot;??_);_(@_)">
                  <c:v>809.33852140077818</c:v>
                </c:pt>
                <c:pt idx="44" formatCode="_(* #,##0_);_(* \(#,##0\);_(* &quot;-&quot;??_);_(@_)">
                  <c:v>460.11673151750972</c:v>
                </c:pt>
                <c:pt idx="45" formatCode="_(* #,##0_);_(* \(#,##0\);_(* &quot;-&quot;??_);_(@_)">
                  <c:v>14.591439688715953</c:v>
                </c:pt>
                <c:pt idx="46" formatCode="_(* #,##0_);_(* \(#,##0\);_(* &quot;-&quot;??_);_(@_)">
                  <c:v>35.992217898832685</c:v>
                </c:pt>
                <c:pt idx="47" formatCode="_(* #,##0_);_(* \(#,##0\);_(* &quot;-&quot;??_);_(@_)">
                  <c:v>287.93774319066148</c:v>
                </c:pt>
                <c:pt idx="48" formatCode="_(* #,##0_);_(* \(#,##0\);_(* &quot;-&quot;??_);_(@_)">
                  <c:v>6.809338521400778</c:v>
                </c:pt>
                <c:pt idx="49" formatCode="_(* #,##0_);_(* \(#,##0\);_(* &quot;-&quot;??_);_(@_)">
                  <c:v>122.568093385214</c:v>
                </c:pt>
                <c:pt idx="50" formatCode="_(* #,##0_);_(* \(#,##0\);_(* &quot;-&quot;??_);_(@_)">
                  <c:v>88.521400778210122</c:v>
                </c:pt>
                <c:pt idx="51" formatCode="_(* #,##0_);_(* \(#,##0\);_(* &quot;-&quot;??_);_(@_)">
                  <c:v>33570.038910505835</c:v>
                </c:pt>
                <c:pt idx="52" formatCode="_(* #,##0_);_(* \(#,##0\);_(* &quot;-&quot;??_);_(@_)">
                  <c:v>7768.4824902723731</c:v>
                </c:pt>
                <c:pt idx="53" formatCode="_(* #,##0_);_(* \(#,##0\);_(* &quot;-&quot;??_);_(@_)">
                  <c:v>1793.7743190661479</c:v>
                </c:pt>
                <c:pt idx="54" formatCode="_(* #,##0_);_(* \(#,##0\);_(* &quot;-&quot;??_);_(@_)">
                  <c:v>904.66926070038903</c:v>
                </c:pt>
                <c:pt idx="55" formatCode="_(* #,##0_);_(* \(#,##0\);_(* &quot;-&quot;??_);_(@_)">
                  <c:v>5193.5797665369646</c:v>
                </c:pt>
                <c:pt idx="56" formatCode="_(* #,##0_);_(* \(#,##0\);_(* &quot;-&quot;??_);_(@_)">
                  <c:v>424.12451361867704</c:v>
                </c:pt>
                <c:pt idx="57" formatCode="_(* #,##0_);_(* \(#,##0\);_(* &quot;-&quot;??_);_(@_)">
                  <c:v>22.373540856031127</c:v>
                </c:pt>
                <c:pt idx="58" formatCode="_(* #,##0_);_(* \(#,##0\);_(* &quot;-&quot;??_);_(@_)">
                  <c:v>0</c:v>
                </c:pt>
                <c:pt idx="59" formatCode="_(* #,##0_);_(* \(#,##0\);_(* &quot;-&quot;??_);_(@_)">
                  <c:v>19.319066147859925</c:v>
                </c:pt>
                <c:pt idx="60" formatCode="_(* #,##0_);_(* \(#,##0\);_(* &quot;-&quot;??_);_(@_)">
                  <c:v>102.14007782101167</c:v>
                </c:pt>
                <c:pt idx="61" formatCode="_(* #,##0_);_(* \(#,##0\);_(* &quot;-&quot;??_);_(@_)">
                  <c:v>29.182879377431906</c:v>
                </c:pt>
                <c:pt idx="62" formatCode="_(* #,##0_);_(* \(#,##0\);_(* &quot;-&quot;??_);_(@_)">
                  <c:v>36.964980544747085</c:v>
                </c:pt>
                <c:pt idx="63" formatCode="_(* #,##0_);_(* \(#,##0\);_(* &quot;-&quot;??_);_(@_)">
                  <c:v>628.4046692607003</c:v>
                </c:pt>
                <c:pt idx="64" formatCode="_(* #,##0_);_(* \(#,##0\);_(* &quot;-&quot;??_);_(@_)">
                  <c:v>2520.4280155642023</c:v>
                </c:pt>
                <c:pt idx="65" formatCode="_(* #,##0_);_(* \(#,##0\);_(* &quot;-&quot;??_);_(@_)">
                  <c:v>263.61867704280155</c:v>
                </c:pt>
                <c:pt idx="66" formatCode="_(* #,##0_);_(* \(#,##0\);_(* &quot;-&quot;??_);_(@_)">
                  <c:v>260.70038910505838</c:v>
                </c:pt>
                <c:pt idx="67" formatCode="_(* #,##0_);_(* \(#,##0\);_(* &quot;-&quot;??_);_(@_)">
                  <c:v>1276.2645914396887</c:v>
                </c:pt>
                <c:pt idx="68" formatCode="_(* #,##0_);_(* \(#,##0\);_(* &quot;-&quot;??_);_(@_)">
                  <c:v>3632.2957198443578</c:v>
                </c:pt>
                <c:pt idx="69" formatCode="_(* #,##0_);_(* \(#,##0\);_(* &quot;-&quot;??_);_(@_)">
                  <c:v>15808.365758754864</c:v>
                </c:pt>
                <c:pt idx="70" formatCode="_(* #,##0_);_(* \(#,##0\);_(* &quot;-&quot;??_);_(@_)">
                  <c:v>42546.69260700389</c:v>
                </c:pt>
                <c:pt idx="71" formatCode="_(* #,##0_);_(* \(#,##0\);_(* &quot;-&quot;??_);_(@_)">
                  <c:v>28884.241245136185</c:v>
                </c:pt>
                <c:pt idx="72" formatCode="_(* #,##0_);_(* \(#,##0\);_(* &quot;-&quot;??_);_(@_)">
                  <c:v>20120.622568093382</c:v>
                </c:pt>
                <c:pt idx="73" formatCode="_(* #,##0_);_(* \(#,##0\);_(* &quot;-&quot;??_);_(@_)">
                  <c:v>31324.902723735409</c:v>
                </c:pt>
                <c:pt idx="74" formatCode="_(* #,##0_);_(* \(#,##0\);_(* &quot;-&quot;??_);_(@_)">
                  <c:v>50964.980544747079</c:v>
                </c:pt>
                <c:pt idx="75" formatCode="_(* #,##0_);_(* \(#,##0\);_(* &quot;-&quot;??_);_(@_)">
                  <c:v>31410.505836575874</c:v>
                </c:pt>
                <c:pt idx="76" formatCode="_(* #,##0_);_(* \(#,##0\);_(* &quot;-&quot;??_);_(@_)">
                  <c:v>30318.093385214008</c:v>
                </c:pt>
              </c:numCache>
            </c:numRef>
          </c:val>
        </c:ser>
        <c:marker val="1"/>
        <c:axId val="113174016"/>
        <c:axId val="113175552"/>
      </c:lineChart>
      <c:dateAx>
        <c:axId val="113174016"/>
        <c:scaling>
          <c:orientation val="minMax"/>
        </c:scaling>
        <c:axPos val="b"/>
        <c:numFmt formatCode="[$-409]mmm\-yy;@" sourceLinked="1"/>
        <c:tickLblPos val="nextTo"/>
        <c:crossAx val="113175552"/>
        <c:crosses val="autoZero"/>
        <c:auto val="1"/>
        <c:lblOffset val="100"/>
      </c:dateAx>
      <c:valAx>
        <c:axId val="113175552"/>
        <c:scaling>
          <c:orientation val="minMax"/>
        </c:scaling>
        <c:axPos val="l"/>
        <c:majorGridlines/>
        <c:numFmt formatCode="_(* #,##0_);_(* \(#,##0\);_(* &quot;-&quot;??_);_(@_)" sourceLinked="1"/>
        <c:tickLblPos val="nextTo"/>
        <c:crossAx val="113174016"/>
        <c:crosses val="autoZero"/>
        <c:crossBetween val="between"/>
      </c:valAx>
    </c:plotArea>
    <c:legend>
      <c:legendPos val="r"/>
    </c:legend>
    <c:plotVisOnly val="1"/>
  </c:chart>
  <c:printSettings>
    <c:headerFooter/>
    <c:pageMargins b="0.75000000000000144" l="0.70000000000000062" r="0.70000000000000062" t="0.75000000000000144"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1"/>
          <c:order val="0"/>
          <c:tx>
            <c:strRef>
              <c:f>'ATMOS NG Calculations'!$B$18</c:f>
              <c:strCache>
                <c:ptCount val="1"/>
                <c:pt idx="0">
                  <c:v>Ind + Trans without VT Steam and Inn</c:v>
                </c:pt>
              </c:strCache>
            </c:strRef>
          </c:tx>
          <c:marker>
            <c:symbol val="none"/>
          </c:marker>
          <c:cat>
            <c:numRef>
              <c:f>'ATMOS NG Calculations'!$C$2:$I$2</c:f>
              <c:numCache>
                <c:formatCode>General</c:formatCode>
                <c:ptCount val="7"/>
                <c:pt idx="0">
                  <c:v>2006</c:v>
                </c:pt>
                <c:pt idx="1">
                  <c:v>2007</c:v>
                </c:pt>
                <c:pt idx="2">
                  <c:v>2008</c:v>
                </c:pt>
                <c:pt idx="3">
                  <c:v>2009</c:v>
                </c:pt>
                <c:pt idx="4">
                  <c:v>2010</c:v>
                </c:pt>
                <c:pt idx="5">
                  <c:v>2011</c:v>
                </c:pt>
                <c:pt idx="6">
                  <c:v>2012</c:v>
                </c:pt>
              </c:numCache>
            </c:numRef>
          </c:cat>
          <c:val>
            <c:numRef>
              <c:f>'ATMOS NG Calculations'!$C$18:$I$18</c:f>
              <c:numCache>
                <c:formatCode>_(* #,##0_);_(* \(#,##0\);_(* "-"??_);_(@_)</c:formatCode>
                <c:ptCount val="7"/>
                <c:pt idx="0">
                  <c:v>237400.90310428018</c:v>
                </c:pt>
                <c:pt idx="1">
                  <c:v>268044.30424487684</c:v>
                </c:pt>
                <c:pt idx="2">
                  <c:v>253203.7506854735</c:v>
                </c:pt>
                <c:pt idx="3">
                  <c:v>208339.04852607008</c:v>
                </c:pt>
                <c:pt idx="4">
                  <c:v>268586.29345564201</c:v>
                </c:pt>
                <c:pt idx="5">
                  <c:v>281753.67891050584</c:v>
                </c:pt>
                <c:pt idx="6">
                  <c:v>313190.4159533073</c:v>
                </c:pt>
              </c:numCache>
            </c:numRef>
          </c:val>
        </c:ser>
        <c:ser>
          <c:idx val="0"/>
          <c:order val="1"/>
          <c:tx>
            <c:strRef>
              <c:f>'ATMOS NG Calculations'!$B$13</c:f>
              <c:strCache>
                <c:ptCount val="1"/>
                <c:pt idx="0">
                  <c:v>Res + Apts.</c:v>
                </c:pt>
              </c:strCache>
            </c:strRef>
          </c:tx>
          <c:marker>
            <c:symbol val="none"/>
          </c:marker>
          <c:val>
            <c:numRef>
              <c:f>'ATMOS NG Calculations'!$C$13:$I$13</c:f>
              <c:numCache>
                <c:formatCode>_(* #,##0_);_(* \(#,##0\);_(* "-"??_);_(@_)</c:formatCode>
                <c:ptCount val="7"/>
                <c:pt idx="0">
                  <c:v>283570.80999574502</c:v>
                </c:pt>
                <c:pt idx="1">
                  <c:v>297000.32852464716</c:v>
                </c:pt>
                <c:pt idx="2">
                  <c:v>315256.15371047426</c:v>
                </c:pt>
                <c:pt idx="3">
                  <c:v>313122.5354548808</c:v>
                </c:pt>
                <c:pt idx="4">
                  <c:v>330026.81184735836</c:v>
                </c:pt>
                <c:pt idx="5">
                  <c:v>289573.4802211998</c:v>
                </c:pt>
                <c:pt idx="6">
                  <c:v>264743.50116139062</c:v>
                </c:pt>
              </c:numCache>
            </c:numRef>
          </c:val>
        </c:ser>
        <c:ser>
          <c:idx val="2"/>
          <c:order val="2"/>
          <c:tx>
            <c:strRef>
              <c:f>'ATMOS NG Calculations'!$B$14</c:f>
              <c:strCache>
                <c:ptCount val="1"/>
                <c:pt idx="0">
                  <c:v>Com without VT Buildings or Apts.</c:v>
                </c:pt>
              </c:strCache>
            </c:strRef>
          </c:tx>
          <c:marker>
            <c:symbol val="none"/>
          </c:marker>
          <c:val>
            <c:numRef>
              <c:f>'ATMOS NG Calculations'!$C$14:$I$14</c:f>
              <c:numCache>
                <c:formatCode>_(* #,##0_);_(* \(#,##0\);_(* "-"??_);_(@_)</c:formatCode>
                <c:ptCount val="7"/>
                <c:pt idx="0">
                  <c:v>183835.93715328217</c:v>
                </c:pt>
                <c:pt idx="1">
                  <c:v>189488.69988535892</c:v>
                </c:pt>
                <c:pt idx="2">
                  <c:v>203147.56646051066</c:v>
                </c:pt>
                <c:pt idx="3">
                  <c:v>204335.72657708294</c:v>
                </c:pt>
                <c:pt idx="4">
                  <c:v>213822.32890984009</c:v>
                </c:pt>
                <c:pt idx="5">
                  <c:v>193354.87374767178</c:v>
                </c:pt>
                <c:pt idx="6">
                  <c:v>176775.32557012688</c:v>
                </c:pt>
              </c:numCache>
            </c:numRef>
          </c:val>
        </c:ser>
        <c:ser>
          <c:idx val="3"/>
          <c:order val="3"/>
          <c:tx>
            <c:strRef>
              <c:f>'ATMOS NG Calculations'!$B$19</c:f>
              <c:strCache>
                <c:ptCount val="1"/>
                <c:pt idx="0">
                  <c:v>Pub</c:v>
                </c:pt>
              </c:strCache>
            </c:strRef>
          </c:tx>
          <c:marker>
            <c:symbol val="none"/>
          </c:marker>
          <c:val>
            <c:numRef>
              <c:f>'ATMOS NG Calculations'!$C$19:$I$19</c:f>
              <c:numCache>
                <c:formatCode>_(* #,##0_);_(* \(#,##0\);_(* "-"??_);_(@_)</c:formatCode>
                <c:ptCount val="7"/>
                <c:pt idx="0">
                  <c:v>32717.5</c:v>
                </c:pt>
                <c:pt idx="1">
                  <c:v>37119.019800000002</c:v>
                </c:pt>
                <c:pt idx="2">
                  <c:v>49652.910100000001</c:v>
                </c:pt>
                <c:pt idx="3">
                  <c:v>45336.158100000001</c:v>
                </c:pt>
                <c:pt idx="4">
                  <c:v>46998.507200000007</c:v>
                </c:pt>
                <c:pt idx="5">
                  <c:v>49313.88</c:v>
                </c:pt>
                <c:pt idx="6">
                  <c:v>41138.400000000001</c:v>
                </c:pt>
              </c:numCache>
            </c:numRef>
          </c:val>
        </c:ser>
        <c:marker val="1"/>
        <c:axId val="113222400"/>
        <c:axId val="113223936"/>
      </c:lineChart>
      <c:catAx>
        <c:axId val="113222400"/>
        <c:scaling>
          <c:orientation val="minMax"/>
        </c:scaling>
        <c:axPos val="b"/>
        <c:numFmt formatCode="General" sourceLinked="1"/>
        <c:tickLblPos val="nextTo"/>
        <c:crossAx val="113223936"/>
        <c:crosses val="autoZero"/>
        <c:auto val="1"/>
        <c:lblAlgn val="ctr"/>
        <c:lblOffset val="100"/>
      </c:catAx>
      <c:valAx>
        <c:axId val="113223936"/>
        <c:scaling>
          <c:orientation val="minMax"/>
        </c:scaling>
        <c:axPos val="l"/>
        <c:majorGridlines/>
        <c:numFmt formatCode="_(* #,##0_);_(* \(#,##0\);_(* &quot;-&quot;??_);_(@_)" sourceLinked="1"/>
        <c:tickLblPos val="nextTo"/>
        <c:crossAx val="113222400"/>
        <c:crosses val="autoZero"/>
        <c:crossBetween val="between"/>
      </c:valAx>
    </c:plotArea>
    <c:legend>
      <c:legendPos val="r"/>
      <c:layout/>
    </c:legend>
    <c:plotVisOnly val="1"/>
  </c:chart>
  <c:printSettings>
    <c:headerFooter/>
    <c:pageMargins b="0.75000000000000144" l="0.70000000000000062" r="0.70000000000000062" t="0.75000000000000144"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v>Observed VMT</c:v>
          </c:tx>
          <c:marker>
            <c:symbol val="none"/>
          </c:marker>
          <c:cat>
            <c:numRef>
              <c:f>'Transportation Projections'!$B$3:$AY$3</c:f>
              <c:numCache>
                <c:formatCode>General</c:formatCode>
                <c:ptCount val="5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pt idx="24">
                  <c:v>2025</c:v>
                </c:pt>
                <c:pt idx="25">
                  <c:v>2026</c:v>
                </c:pt>
                <c:pt idx="26">
                  <c:v>2027</c:v>
                </c:pt>
                <c:pt idx="27">
                  <c:v>2028</c:v>
                </c:pt>
                <c:pt idx="28">
                  <c:v>2029</c:v>
                </c:pt>
                <c:pt idx="29">
                  <c:v>2030</c:v>
                </c:pt>
                <c:pt idx="30">
                  <c:v>2031</c:v>
                </c:pt>
                <c:pt idx="31">
                  <c:v>2032</c:v>
                </c:pt>
                <c:pt idx="32">
                  <c:v>2033</c:v>
                </c:pt>
                <c:pt idx="33">
                  <c:v>2034</c:v>
                </c:pt>
                <c:pt idx="34">
                  <c:v>2035</c:v>
                </c:pt>
                <c:pt idx="35">
                  <c:v>2036</c:v>
                </c:pt>
                <c:pt idx="36">
                  <c:v>2037</c:v>
                </c:pt>
                <c:pt idx="37">
                  <c:v>2038</c:v>
                </c:pt>
                <c:pt idx="38">
                  <c:v>2039</c:v>
                </c:pt>
                <c:pt idx="39">
                  <c:v>2040</c:v>
                </c:pt>
                <c:pt idx="40">
                  <c:v>2041</c:v>
                </c:pt>
                <c:pt idx="41">
                  <c:v>2042</c:v>
                </c:pt>
                <c:pt idx="42">
                  <c:v>2043</c:v>
                </c:pt>
                <c:pt idx="43">
                  <c:v>2044</c:v>
                </c:pt>
                <c:pt idx="44">
                  <c:v>2045</c:v>
                </c:pt>
                <c:pt idx="45">
                  <c:v>2046</c:v>
                </c:pt>
                <c:pt idx="46">
                  <c:v>2047</c:v>
                </c:pt>
                <c:pt idx="47">
                  <c:v>2048</c:v>
                </c:pt>
                <c:pt idx="48">
                  <c:v>2049</c:v>
                </c:pt>
                <c:pt idx="49">
                  <c:v>2050</c:v>
                </c:pt>
              </c:numCache>
            </c:numRef>
          </c:cat>
          <c:val>
            <c:numRef>
              <c:f>('Transportation Projections'!$B$4:$L$4,'Transportation Projections'!$M$2:$AY$2)</c:f>
              <c:numCache>
                <c:formatCode>_(* #,##0_);_(* \(#,##0\);_(* "-"??_);_(@_)</c:formatCode>
                <c:ptCount val="50"/>
                <c:pt idx="0">
                  <c:v>133618835</c:v>
                </c:pt>
                <c:pt idx="1">
                  <c:v>132210300</c:v>
                </c:pt>
                <c:pt idx="2">
                  <c:v>142771210</c:v>
                </c:pt>
                <c:pt idx="3">
                  <c:v>174886512</c:v>
                </c:pt>
                <c:pt idx="4">
                  <c:v>168748990</c:v>
                </c:pt>
                <c:pt idx="5">
                  <c:v>170361105.46515578</c:v>
                </c:pt>
                <c:pt idx="6">
                  <c:v>176072679.94924068</c:v>
                </c:pt>
                <c:pt idx="7">
                  <c:v>178262537.06054661</c:v>
                </c:pt>
                <c:pt idx="8">
                  <c:v>189946311.89816532</c:v>
                </c:pt>
                <c:pt idx="9">
                  <c:v>178986016.61471811</c:v>
                </c:pt>
                <c:pt idx="10">
                  <c:v>176940808.40012211</c:v>
                </c:pt>
              </c:numCache>
            </c:numRef>
          </c:val>
        </c:ser>
        <c:ser>
          <c:idx val="1"/>
          <c:order val="1"/>
          <c:tx>
            <c:v>Projected VMT</c:v>
          </c:tx>
          <c:marker>
            <c:symbol val="none"/>
          </c:marker>
          <c:cat>
            <c:numRef>
              <c:f>'Transportation Projections'!$B$3:$AY$3</c:f>
              <c:numCache>
                <c:formatCode>General</c:formatCode>
                <c:ptCount val="5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pt idx="24">
                  <c:v>2025</c:v>
                </c:pt>
                <c:pt idx="25">
                  <c:v>2026</c:v>
                </c:pt>
                <c:pt idx="26">
                  <c:v>2027</c:v>
                </c:pt>
                <c:pt idx="27">
                  <c:v>2028</c:v>
                </c:pt>
                <c:pt idx="28">
                  <c:v>2029</c:v>
                </c:pt>
                <c:pt idx="29">
                  <c:v>2030</c:v>
                </c:pt>
                <c:pt idx="30">
                  <c:v>2031</c:v>
                </c:pt>
                <c:pt idx="31">
                  <c:v>2032</c:v>
                </c:pt>
                <c:pt idx="32">
                  <c:v>2033</c:v>
                </c:pt>
                <c:pt idx="33">
                  <c:v>2034</c:v>
                </c:pt>
                <c:pt idx="34">
                  <c:v>2035</c:v>
                </c:pt>
                <c:pt idx="35">
                  <c:v>2036</c:v>
                </c:pt>
                <c:pt idx="36">
                  <c:v>2037</c:v>
                </c:pt>
                <c:pt idx="37">
                  <c:v>2038</c:v>
                </c:pt>
                <c:pt idx="38">
                  <c:v>2039</c:v>
                </c:pt>
                <c:pt idx="39">
                  <c:v>2040</c:v>
                </c:pt>
                <c:pt idx="40">
                  <c:v>2041</c:v>
                </c:pt>
                <c:pt idx="41">
                  <c:v>2042</c:v>
                </c:pt>
                <c:pt idx="42">
                  <c:v>2043</c:v>
                </c:pt>
                <c:pt idx="43">
                  <c:v>2044</c:v>
                </c:pt>
                <c:pt idx="44">
                  <c:v>2045</c:v>
                </c:pt>
                <c:pt idx="45">
                  <c:v>2046</c:v>
                </c:pt>
                <c:pt idx="46">
                  <c:v>2047</c:v>
                </c:pt>
                <c:pt idx="47">
                  <c:v>2048</c:v>
                </c:pt>
                <c:pt idx="48">
                  <c:v>2049</c:v>
                </c:pt>
                <c:pt idx="49">
                  <c:v>2050</c:v>
                </c:pt>
              </c:numCache>
            </c:numRef>
          </c:cat>
          <c:val>
            <c:numRef>
              <c:f>('Transportation Projections'!$B$2:$K$2,'Transportation Projections'!$L$4:$AY$4)</c:f>
              <c:numCache>
                <c:formatCode>General</c:formatCode>
                <c:ptCount val="50"/>
                <c:pt idx="10" formatCode="_(* #,##0_);_(* \(#,##0\);_(* &quot;-&quot;??_);_(@_)">
                  <c:v>176940808.40012211</c:v>
                </c:pt>
                <c:pt idx="11" formatCode="_(* #,##0_);_(* \(#,##0\);_(* &quot;-&quot;??_);_(@_)">
                  <c:v>175949815.21417567</c:v>
                </c:pt>
                <c:pt idx="12" formatCode="_(* #,##0_);_(* \(#,##0\);_(* &quot;-&quot;??_);_(@_)">
                  <c:v>177690589.92028233</c:v>
                </c:pt>
                <c:pt idx="13" formatCode="_(* #,##0_);_(* \(#,##0\);_(* &quot;-&quot;??_);_(@_)">
                  <c:v>178309947.50055948</c:v>
                </c:pt>
                <c:pt idx="14" formatCode="_(* #,##0_);_(* \(#,##0\);_(* &quot;-&quot;??_);_(@_)">
                  <c:v>178914689.27024195</c:v>
                </c:pt>
                <c:pt idx="15" formatCode="_(* #,##0_);_(* \(#,##0\);_(* &quot;-&quot;??_);_(@_)">
                  <c:v>179504973.31527928</c:v>
                </c:pt>
                <c:pt idx="16" formatCode="_(* #,##0_);_(* \(#,##0\);_(* &quot;-&quot;??_);_(@_)">
                  <c:v>180080956.31907722</c:v>
                </c:pt>
                <c:pt idx="17" formatCode="_(* #,##0_);_(* \(#,##0\);_(* &quot;-&quot;??_);_(@_)">
                  <c:v>180642793.57383814</c:v>
                </c:pt>
                <c:pt idx="18" formatCode="_(* #,##0_);_(* \(#,##0\);_(* &quot;-&quot;??_);_(@_)">
                  <c:v>181190638.99181443</c:v>
                </c:pt>
                <c:pt idx="19" formatCode="_(* #,##0_);_(* \(#,##0\);_(* &quot;-&quot;??_);_(@_)">
                  <c:v>183022937.92126706</c:v>
                </c:pt>
                <c:pt idx="20" formatCode="_(* #,##0_);_(* \(#,##0\);_(* &quot;-&quot;??_);_(@_)">
                  <c:v>182244963.13359189</c:v>
                </c:pt>
                <c:pt idx="21" formatCode="_(* #,##0_);_(* \(#,##0\);_(* &quot;-&quot;??_);_(@_)">
                  <c:v>182751742.88222688</c:v>
                </c:pt>
                <c:pt idx="22" formatCode="_(* #,##0_);_(* \(#,##0\);_(* &quot;-&quot;??_);_(@_)">
                  <c:v>183245132.86565417</c:v>
                </c:pt>
                <c:pt idx="23" formatCode="_(* #,##0_);_(* \(#,##0\);_(* &quot;-&quot;??_);_(@_)">
                  <c:v>183725280.26218399</c:v>
                </c:pt>
                <c:pt idx="24" formatCode="_(* #,##0_);_(* \(#,##0\);_(* &quot;-&quot;??_);_(@_)">
                  <c:v>184192330.93590921</c:v>
                </c:pt>
                <c:pt idx="25" formatCode="_(* #,##0_);_(* \(#,##0\);_(* &quot;-&quot;??_);_(@_)">
                  <c:v>184646429.44736853</c:v>
                </c:pt>
                <c:pt idx="26" formatCode="_(* #,##0_);_(* \(#,##0\);_(* &quot;-&quot;??_);_(@_)">
                  <c:v>185087719.06412783</c:v>
                </c:pt>
                <c:pt idx="27" formatCode="_(* #,##0_);_(* \(#,##0\);_(* &quot;-&quot;??_);_(@_)">
                  <c:v>185516341.77128023</c:v>
                </c:pt>
                <c:pt idx="28" formatCode="_(* #,##0_);_(* \(#,##0\);_(* &quot;-&quot;??_);_(@_)">
                  <c:v>185932438.28186548</c:v>
                </c:pt>
                <c:pt idx="29" formatCode="_(* #,##0_);_(* \(#,##0\);_(* &quot;-&quot;??_);_(@_)">
                  <c:v>186665778.48466584</c:v>
                </c:pt>
                <c:pt idx="30" formatCode="_(* #,##0_);_(* \(#,##0\);_(* &quot;-&quot;??_);_(@_)">
                  <c:v>186727609.26718342</c:v>
                </c:pt>
                <c:pt idx="31" formatCode="_(* #,##0_);_(* \(#,##0\);_(* &quot;-&quot;??_);_(@_)">
                  <c:v>187106958.90038639</c:v>
                </c:pt>
                <c:pt idx="32" formatCode="_(* #,##0_);_(* \(#,##0\);_(* &quot;-&quot;??_);_(@_)">
                  <c:v>187474332.67424664</c:v>
                </c:pt>
                <c:pt idx="33" formatCode="_(* #,##0_);_(* \(#,##0\);_(* &quot;-&quot;??_);_(@_)">
                  <c:v>187829865.09504715</c:v>
                </c:pt>
                <c:pt idx="34" formatCode="_(* #,##0_);_(* \(#,##0\);_(* &quot;-&quot;??_);_(@_)">
                  <c:v>188173689.4578737</c:v>
                </c:pt>
                <c:pt idx="35" formatCode="_(* #,##0_);_(* \(#,##0\);_(* &quot;-&quot;??_);_(@_)">
                  <c:v>188505937.85648593</c:v>
                </c:pt>
                <c:pt idx="36" formatCode="_(* #,##0_);_(* \(#,##0\);_(* &quot;-&quot;??_);_(@_)">
                  <c:v>188826741.19311306</c:v>
                </c:pt>
                <c:pt idx="37" formatCode="_(* #,##0_);_(* \(#,##0\);_(* &quot;-&quot;??_);_(@_)">
                  <c:v>189136229.18817344</c:v>
                </c:pt>
                <c:pt idx="38" formatCode="_(* #,##0_);_(* \(#,##0\);_(* &quot;-&quot;??_);_(@_)">
                  <c:v>189434530.38991997</c:v>
                </c:pt>
                <c:pt idx="39" formatCode="_(* #,##0_);_(* \(#,##0\);_(* &quot;-&quot;??_);_(@_)">
                  <c:v>189195351.90762857</c:v>
                </c:pt>
                <c:pt idx="40" formatCode="_(* #,##0_);_(* \(#,##0\);_(* &quot;-&quot;??_);_(@_)">
                  <c:v>189998080.80300543</c:v>
                </c:pt>
                <c:pt idx="41" formatCode="_(* #,##0_);_(* \(#,##0\);_(* &quot;-&quot;??_);_(@_)">
                  <c:v>190263581.33579066</c:v>
                </c:pt>
                <c:pt idx="42" formatCode="_(* #,##0_);_(* \(#,##0\);_(* &quot;-&quot;??_);_(@_)">
                  <c:v>190518397.73692948</c:v>
                </c:pt>
                <c:pt idx="43" formatCode="_(* #,##0_);_(* \(#,##0\);_(* &quot;-&quot;??_);_(@_)">
                  <c:v>190762652.83594111</c:v>
                </c:pt>
                <c:pt idx="44" formatCode="_(* #,##0_);_(* \(#,##0\);_(* &quot;-&quot;??_);_(@_)">
                  <c:v>190996468.34650838</c:v>
                </c:pt>
                <c:pt idx="45" formatCode="_(* #,##0_);_(* \(#,##0\);_(* &quot;-&quot;??_);_(@_)">
                  <c:v>191219964.8756139</c:v>
                </c:pt>
                <c:pt idx="46" formatCode="_(* #,##0_);_(* \(#,##0\);_(* &quot;-&quot;??_);_(@_)">
                  <c:v>191433261.93260583</c:v>
                </c:pt>
                <c:pt idx="47" formatCode="_(* #,##0_);_(* \(#,##0\);_(* &quot;-&quot;??_);_(@_)">
                  <c:v>191636477.93819395</c:v>
                </c:pt>
                <c:pt idx="48" formatCode="_(* #,##0_);_(* \(#,##0\);_(* &quot;-&quot;??_);_(@_)">
                  <c:v>191829730.23337567</c:v>
                </c:pt>
                <c:pt idx="49" formatCode="_(* #,##0_);_(* \(#,##0\);_(* &quot;-&quot;??_);_(@_)">
                  <c:v>192013135.08829358</c:v>
                </c:pt>
              </c:numCache>
            </c:numRef>
          </c:val>
        </c:ser>
        <c:marker val="1"/>
        <c:axId val="114012160"/>
        <c:axId val="114013696"/>
      </c:lineChart>
      <c:catAx>
        <c:axId val="114012160"/>
        <c:scaling>
          <c:orientation val="minMax"/>
        </c:scaling>
        <c:axPos val="b"/>
        <c:numFmt formatCode="General" sourceLinked="1"/>
        <c:tickLblPos val="nextTo"/>
        <c:crossAx val="114013696"/>
        <c:crosses val="autoZero"/>
        <c:auto val="1"/>
        <c:lblAlgn val="ctr"/>
        <c:lblOffset val="100"/>
      </c:catAx>
      <c:valAx>
        <c:axId val="114013696"/>
        <c:scaling>
          <c:orientation val="minMax"/>
        </c:scaling>
        <c:axPos val="l"/>
        <c:majorGridlines/>
        <c:numFmt formatCode="_(* #,##0_);_(* \(#,##0\);_(* &quot;-&quot;??_);_(@_)" sourceLinked="1"/>
        <c:tickLblPos val="nextTo"/>
        <c:crossAx val="114012160"/>
        <c:crosses val="autoZero"/>
        <c:crossBetween val="between"/>
      </c:valAx>
    </c:plotArea>
    <c:legend>
      <c:legendPos val="r"/>
    </c:legend>
    <c:plotVisOnly val="1"/>
  </c:chart>
  <c:printSettings>
    <c:headerFooter/>
    <c:pageMargins b="0.75000000000000111" l="0.70000000000000062" r="0.70000000000000062" t="0.75000000000000111"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'Wastewater Data'!$B$25</c:f>
              <c:strCache>
                <c:ptCount val="1"/>
                <c:pt idx="0">
                  <c:v>Bburg Vol</c:v>
                </c:pt>
              </c:strCache>
            </c:strRef>
          </c:tx>
          <c:marker>
            <c:symbol val="none"/>
          </c:marker>
          <c:cat>
            <c:strRef>
              <c:f>'Wastewater Data'!$A$27:$A$56</c:f>
              <c:strCache>
                <c:ptCount val="30"/>
                <c:pt idx="0">
                  <c:v>3QTR2005</c:v>
                </c:pt>
                <c:pt idx="1">
                  <c:v>1QTR2006</c:v>
                </c:pt>
                <c:pt idx="2">
                  <c:v>2QTR 2006</c:v>
                </c:pt>
                <c:pt idx="3">
                  <c:v>3QTR2006</c:v>
                </c:pt>
                <c:pt idx="4">
                  <c:v>4QTR2006</c:v>
                </c:pt>
                <c:pt idx="5">
                  <c:v>1Qtr2007</c:v>
                </c:pt>
                <c:pt idx="6">
                  <c:v>2QTR2007</c:v>
                </c:pt>
                <c:pt idx="7">
                  <c:v>3QTR2007</c:v>
                </c:pt>
                <c:pt idx="8">
                  <c:v>4QTR2007</c:v>
                </c:pt>
                <c:pt idx="9">
                  <c:v>1QTR2008</c:v>
                </c:pt>
                <c:pt idx="10">
                  <c:v>2QTR2008</c:v>
                </c:pt>
                <c:pt idx="11">
                  <c:v>3QTR2008</c:v>
                </c:pt>
                <c:pt idx="12">
                  <c:v>4QTR2008</c:v>
                </c:pt>
                <c:pt idx="13">
                  <c:v>1QTR2009</c:v>
                </c:pt>
                <c:pt idx="14">
                  <c:v>2QTR2009</c:v>
                </c:pt>
                <c:pt idx="15">
                  <c:v>3QTR2009</c:v>
                </c:pt>
                <c:pt idx="16">
                  <c:v>4QTR2009</c:v>
                </c:pt>
                <c:pt idx="17">
                  <c:v>1QTR2010</c:v>
                </c:pt>
                <c:pt idx="18">
                  <c:v>2QTR2010</c:v>
                </c:pt>
                <c:pt idx="19">
                  <c:v>3QTR2010</c:v>
                </c:pt>
                <c:pt idx="20">
                  <c:v>4QTR2010</c:v>
                </c:pt>
                <c:pt idx="21">
                  <c:v>1QTR2011</c:v>
                </c:pt>
                <c:pt idx="22">
                  <c:v>2QTR2011</c:v>
                </c:pt>
                <c:pt idx="23">
                  <c:v>3QTR2011</c:v>
                </c:pt>
                <c:pt idx="24">
                  <c:v>4QTR2011</c:v>
                </c:pt>
                <c:pt idx="25">
                  <c:v>1QTR2012</c:v>
                </c:pt>
                <c:pt idx="26">
                  <c:v>2QTR2012</c:v>
                </c:pt>
                <c:pt idx="27">
                  <c:v>3QTR2012</c:v>
                </c:pt>
                <c:pt idx="28">
                  <c:v>4QTR2012</c:v>
                </c:pt>
                <c:pt idx="29">
                  <c:v>1QTR2013</c:v>
                </c:pt>
              </c:strCache>
            </c:strRef>
          </c:cat>
          <c:val>
            <c:numRef>
              <c:f>'Wastewater Data'!$B$27:$B$56</c:f>
              <c:numCache>
                <c:formatCode>#,##0</c:formatCode>
                <c:ptCount val="30"/>
                <c:pt idx="0">
                  <c:v>226428254</c:v>
                </c:pt>
                <c:pt idx="1">
                  <c:v>239518015</c:v>
                </c:pt>
                <c:pt idx="2">
                  <c:v>257707934</c:v>
                </c:pt>
                <c:pt idx="3">
                  <c:v>231486577</c:v>
                </c:pt>
                <c:pt idx="4">
                  <c:v>232217697</c:v>
                </c:pt>
                <c:pt idx="5">
                  <c:v>225540921</c:v>
                </c:pt>
                <c:pt idx="6">
                  <c:v>218780820</c:v>
                </c:pt>
                <c:pt idx="7">
                  <c:v>255384834</c:v>
                </c:pt>
                <c:pt idx="8">
                  <c:v>247906459</c:v>
                </c:pt>
                <c:pt idx="9">
                  <c:v>203451885</c:v>
                </c:pt>
                <c:pt idx="10">
                  <c:v>259984935</c:v>
                </c:pt>
                <c:pt idx="11">
                  <c:v>231971873</c:v>
                </c:pt>
                <c:pt idx="18">
                  <c:v>212882773</c:v>
                </c:pt>
                <c:pt idx="19">
                  <c:v>211589649</c:v>
                </c:pt>
                <c:pt idx="20">
                  <c:v>217316173</c:v>
                </c:pt>
                <c:pt idx="21">
                  <c:v>213587974</c:v>
                </c:pt>
                <c:pt idx="22">
                  <c:v>211295992</c:v>
                </c:pt>
                <c:pt idx="23">
                  <c:v>248941000</c:v>
                </c:pt>
                <c:pt idx="24">
                  <c:v>297911000</c:v>
                </c:pt>
                <c:pt idx="25">
                  <c:v>321813000</c:v>
                </c:pt>
                <c:pt idx="26">
                  <c:v>288506900</c:v>
                </c:pt>
                <c:pt idx="27">
                  <c:v>260549000</c:v>
                </c:pt>
                <c:pt idx="28">
                  <c:v>259330000</c:v>
                </c:pt>
                <c:pt idx="29">
                  <c:v>305300000</c:v>
                </c:pt>
              </c:numCache>
            </c:numRef>
          </c:val>
        </c:ser>
        <c:ser>
          <c:idx val="1"/>
          <c:order val="1"/>
          <c:tx>
            <c:v>Interpolated Volumes</c:v>
          </c:tx>
          <c:marker>
            <c:symbol val="none"/>
          </c:marker>
          <c:cat>
            <c:strRef>
              <c:f>'Wastewater Data'!$A$27:$A$56</c:f>
              <c:strCache>
                <c:ptCount val="30"/>
                <c:pt idx="0">
                  <c:v>3QTR2005</c:v>
                </c:pt>
                <c:pt idx="1">
                  <c:v>1QTR2006</c:v>
                </c:pt>
                <c:pt idx="2">
                  <c:v>2QTR 2006</c:v>
                </c:pt>
                <c:pt idx="3">
                  <c:v>3QTR2006</c:v>
                </c:pt>
                <c:pt idx="4">
                  <c:v>4QTR2006</c:v>
                </c:pt>
                <c:pt idx="5">
                  <c:v>1Qtr2007</c:v>
                </c:pt>
                <c:pt idx="6">
                  <c:v>2QTR2007</c:v>
                </c:pt>
                <c:pt idx="7">
                  <c:v>3QTR2007</c:v>
                </c:pt>
                <c:pt idx="8">
                  <c:v>4QTR2007</c:v>
                </c:pt>
                <c:pt idx="9">
                  <c:v>1QTR2008</c:v>
                </c:pt>
                <c:pt idx="10">
                  <c:v>2QTR2008</c:v>
                </c:pt>
                <c:pt idx="11">
                  <c:v>3QTR2008</c:v>
                </c:pt>
                <c:pt idx="12">
                  <c:v>4QTR2008</c:v>
                </c:pt>
                <c:pt idx="13">
                  <c:v>1QTR2009</c:v>
                </c:pt>
                <c:pt idx="14">
                  <c:v>2QTR2009</c:v>
                </c:pt>
                <c:pt idx="15">
                  <c:v>3QTR2009</c:v>
                </c:pt>
                <c:pt idx="16">
                  <c:v>4QTR2009</c:v>
                </c:pt>
                <c:pt idx="17">
                  <c:v>1QTR2010</c:v>
                </c:pt>
                <c:pt idx="18">
                  <c:v>2QTR2010</c:v>
                </c:pt>
                <c:pt idx="19">
                  <c:v>3QTR2010</c:v>
                </c:pt>
                <c:pt idx="20">
                  <c:v>4QTR2010</c:v>
                </c:pt>
                <c:pt idx="21">
                  <c:v>1QTR2011</c:v>
                </c:pt>
                <c:pt idx="22">
                  <c:v>2QTR2011</c:v>
                </c:pt>
                <c:pt idx="23">
                  <c:v>3QTR2011</c:v>
                </c:pt>
                <c:pt idx="24">
                  <c:v>4QTR2011</c:v>
                </c:pt>
                <c:pt idx="25">
                  <c:v>1QTR2012</c:v>
                </c:pt>
                <c:pt idx="26">
                  <c:v>2QTR2012</c:v>
                </c:pt>
                <c:pt idx="27">
                  <c:v>3QTR2012</c:v>
                </c:pt>
                <c:pt idx="28">
                  <c:v>4QTR2012</c:v>
                </c:pt>
                <c:pt idx="29">
                  <c:v>1QTR2013</c:v>
                </c:pt>
              </c:strCache>
            </c:strRef>
          </c:cat>
          <c:val>
            <c:numRef>
              <c:f>'Wastewater Data'!$C$27:$C$56</c:f>
              <c:numCache>
                <c:formatCode>#,##0</c:formatCode>
                <c:ptCount val="30"/>
                <c:pt idx="12">
                  <c:v>229244858.7142857</c:v>
                </c:pt>
                <c:pt idx="13">
                  <c:v>226517844.42857143</c:v>
                </c:pt>
                <c:pt idx="14">
                  <c:v>223790830.14285713</c:v>
                </c:pt>
                <c:pt idx="15">
                  <c:v>221063815.85714287</c:v>
                </c:pt>
                <c:pt idx="16">
                  <c:v>218336801.57142857</c:v>
                </c:pt>
                <c:pt idx="17">
                  <c:v>215609787.2857143</c:v>
                </c:pt>
              </c:numCache>
            </c:numRef>
          </c:val>
        </c:ser>
        <c:marker val="1"/>
        <c:axId val="116601216"/>
        <c:axId val="116602752"/>
      </c:lineChart>
      <c:catAx>
        <c:axId val="116601216"/>
        <c:scaling>
          <c:orientation val="minMax"/>
        </c:scaling>
        <c:axPos val="b"/>
        <c:tickLblPos val="nextTo"/>
        <c:crossAx val="116602752"/>
        <c:crosses val="autoZero"/>
        <c:auto val="1"/>
        <c:lblAlgn val="ctr"/>
        <c:lblOffset val="100"/>
      </c:catAx>
      <c:valAx>
        <c:axId val="116602752"/>
        <c:scaling>
          <c:orientation val="minMax"/>
        </c:scaling>
        <c:axPos val="l"/>
        <c:majorGridlines/>
        <c:numFmt formatCode="#,##0" sourceLinked="1"/>
        <c:tickLblPos val="nextTo"/>
        <c:crossAx val="116601216"/>
        <c:crosses val="autoZero"/>
        <c:crossBetween val="between"/>
      </c:valAx>
    </c:plotArea>
    <c:legend>
      <c:legendPos val="r"/>
    </c:legend>
    <c:plotVisOnly val="1"/>
  </c:chart>
  <c:printSettings>
    <c:headerFooter/>
    <c:pageMargins b="0.75000000000000189" l="0.70000000000000062" r="0.70000000000000062" t="0.75000000000000189"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en-US"/>
  <c:chart>
    <c:title>
      <c:layout/>
    </c:title>
    <c:plotArea>
      <c:layout/>
      <c:lineChart>
        <c:grouping val="standard"/>
        <c:ser>
          <c:idx val="0"/>
          <c:order val="0"/>
          <c:tx>
            <c:strRef>
              <c:f>'Wastewater Data'!$H$5</c:f>
              <c:strCache>
                <c:ptCount val="1"/>
                <c:pt idx="0">
                  <c:v>Blacksburg Yearly Volume Totals:</c:v>
                </c:pt>
              </c:strCache>
            </c:strRef>
          </c:tx>
          <c:marker>
            <c:symbol val="none"/>
          </c:marker>
          <c:cat>
            <c:numRef>
              <c:f>'Wastewater Data'!$H$6:$N$6</c:f>
              <c:numCache>
                <c:formatCode>General</c:formatCode>
                <c:ptCount val="7"/>
                <c:pt idx="0">
                  <c:v>2006</c:v>
                </c:pt>
                <c:pt idx="1">
                  <c:v>2007</c:v>
                </c:pt>
                <c:pt idx="2">
                  <c:v>2008</c:v>
                </c:pt>
                <c:pt idx="3">
                  <c:v>2009</c:v>
                </c:pt>
                <c:pt idx="4">
                  <c:v>2010</c:v>
                </c:pt>
                <c:pt idx="5">
                  <c:v>2011</c:v>
                </c:pt>
                <c:pt idx="6">
                  <c:v>2012</c:v>
                </c:pt>
              </c:numCache>
            </c:numRef>
          </c:cat>
          <c:val>
            <c:numRef>
              <c:f>'Wastewater Data'!$H$7:$N$7</c:f>
              <c:numCache>
                <c:formatCode>#,##0</c:formatCode>
                <c:ptCount val="7"/>
                <c:pt idx="0">
                  <c:v>960930223</c:v>
                </c:pt>
                <c:pt idx="1">
                  <c:v>947613034</c:v>
                </c:pt>
                <c:pt idx="2">
                  <c:v>924653551.71428573</c:v>
                </c:pt>
                <c:pt idx="3">
                  <c:v>889709292</c:v>
                </c:pt>
                <c:pt idx="4">
                  <c:v>857398382.28571427</c:v>
                </c:pt>
                <c:pt idx="5">
                  <c:v>971735966</c:v>
                </c:pt>
                <c:pt idx="6">
                  <c:v>1130198900</c:v>
                </c:pt>
              </c:numCache>
            </c:numRef>
          </c:val>
        </c:ser>
        <c:marker val="1"/>
        <c:axId val="116613504"/>
        <c:axId val="116615040"/>
      </c:lineChart>
      <c:catAx>
        <c:axId val="116613504"/>
        <c:scaling>
          <c:orientation val="minMax"/>
        </c:scaling>
        <c:axPos val="b"/>
        <c:numFmt formatCode="General" sourceLinked="1"/>
        <c:tickLblPos val="nextTo"/>
        <c:crossAx val="116615040"/>
        <c:crosses val="autoZero"/>
        <c:auto val="1"/>
        <c:lblAlgn val="ctr"/>
        <c:lblOffset val="100"/>
      </c:catAx>
      <c:valAx>
        <c:axId val="116615040"/>
        <c:scaling>
          <c:orientation val="minMax"/>
        </c:scaling>
        <c:axPos val="l"/>
        <c:majorGridlines/>
        <c:numFmt formatCode="#,##0" sourceLinked="1"/>
        <c:tickLblPos val="nextTo"/>
        <c:crossAx val="116613504"/>
        <c:crosses val="autoZero"/>
        <c:crossBetween val="between"/>
      </c:valAx>
    </c:plotArea>
    <c:plotVisOnly val="1"/>
  </c:chart>
  <c:printSettings>
    <c:headerFooter/>
    <c:pageMargins b="0.75000000000000189" l="0.70000000000000062" r="0.70000000000000062" t="0.750000000000001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layout/>
    </c:title>
    <c:plotArea>
      <c:layout/>
      <c:barChart>
        <c:barDir val="col"/>
        <c:grouping val="clustered"/>
        <c:ser>
          <c:idx val="0"/>
          <c:order val="0"/>
          <c:tx>
            <c:strRef>
              <c:f>'2006 - 2012 Energy Use Overview'!$B$1</c:f>
              <c:strCache>
                <c:ptCount val="1"/>
                <c:pt idx="0">
                  <c:v>Total Energy Use (MMBtu)</c:v>
                </c:pt>
              </c:strCache>
            </c:strRef>
          </c:tx>
          <c:cat>
            <c:numRef>
              <c:f>'2006 - 2012 Energy Use Overview'!$C$49:$I$49</c:f>
              <c:numCache>
                <c:formatCode>General</c:formatCode>
                <c:ptCount val="7"/>
                <c:pt idx="0">
                  <c:v>2006</c:v>
                </c:pt>
                <c:pt idx="1">
                  <c:v>2007</c:v>
                </c:pt>
                <c:pt idx="2">
                  <c:v>2008</c:v>
                </c:pt>
                <c:pt idx="3">
                  <c:v>2009</c:v>
                </c:pt>
                <c:pt idx="4">
                  <c:v>2010</c:v>
                </c:pt>
                <c:pt idx="5">
                  <c:v>2011</c:v>
                </c:pt>
                <c:pt idx="6">
                  <c:v>2012</c:v>
                </c:pt>
              </c:numCache>
            </c:numRef>
          </c:cat>
          <c:val>
            <c:numRef>
              <c:f>'2006 - 2012 Energy Use Overview'!$C$56:$I$56</c:f>
              <c:numCache>
                <c:formatCode>_(* #,##0_);_(* \(#,##0\);_(* "-"??_);_(@_)</c:formatCode>
                <c:ptCount val="7"/>
                <c:pt idx="0">
                  <c:v>2683281.7748635551</c:v>
                </c:pt>
                <c:pt idx="1">
                  <c:v>2846523.7652034648</c:v>
                </c:pt>
                <c:pt idx="2">
                  <c:v>3053347.6666881959</c:v>
                </c:pt>
                <c:pt idx="3">
                  <c:v>3047305.4119218364</c:v>
                </c:pt>
                <c:pt idx="4">
                  <c:v>3205809.9861638136</c:v>
                </c:pt>
                <c:pt idx="5">
                  <c:v>3089324.788748153</c:v>
                </c:pt>
                <c:pt idx="6">
                  <c:v>3002791.6035278919</c:v>
                </c:pt>
              </c:numCache>
            </c:numRef>
          </c:val>
        </c:ser>
        <c:axId val="103071744"/>
        <c:axId val="103073280"/>
      </c:barChart>
      <c:catAx>
        <c:axId val="103071744"/>
        <c:scaling>
          <c:orientation val="minMax"/>
        </c:scaling>
        <c:axPos val="b"/>
        <c:numFmt formatCode="General" sourceLinked="1"/>
        <c:tickLblPos val="nextTo"/>
        <c:crossAx val="103073280"/>
        <c:crosses val="autoZero"/>
        <c:auto val="1"/>
        <c:lblAlgn val="ctr"/>
        <c:lblOffset val="100"/>
      </c:catAx>
      <c:valAx>
        <c:axId val="103073280"/>
        <c:scaling>
          <c:orientation val="minMax"/>
          <c:min val="0"/>
        </c:scaling>
        <c:axPos val="l"/>
        <c:majorGridlines/>
        <c:numFmt formatCode="_(* #,##0_);_(* \(#,##0\);_(* &quot;-&quot;??_);_(@_)" sourceLinked="1"/>
        <c:tickLblPos val="nextTo"/>
        <c:crossAx val="103071744"/>
        <c:crosses val="autoZero"/>
        <c:crossBetween val="between"/>
      </c:valAx>
    </c:plotArea>
    <c:plotVisOnly val="1"/>
  </c:chart>
  <c:printSettings>
    <c:headerFooter/>
    <c:pageMargins b="0.75000000000000233" l="0.70000000000000062" r="0.70000000000000062" t="0.75000000000000233"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Energy Use by Sector</a:t>
            </a:r>
            <a:r>
              <a:rPr lang="en-US" baseline="0"/>
              <a:t> (MMBtu)</a:t>
            </a:r>
          </a:p>
        </c:rich>
      </c:tx>
      <c:layout/>
    </c:title>
    <c:plotArea>
      <c:layout/>
      <c:lineChart>
        <c:grouping val="standard"/>
        <c:ser>
          <c:idx val="0"/>
          <c:order val="0"/>
          <c:tx>
            <c:strRef>
              <c:f>'2006 - 2012 Energy Use Overview'!$B$50</c:f>
              <c:strCache>
                <c:ptCount val="1"/>
                <c:pt idx="0">
                  <c:v>Residential</c:v>
                </c:pt>
              </c:strCache>
            </c:strRef>
          </c:tx>
          <c:marker>
            <c:symbol val="none"/>
          </c:marker>
          <c:cat>
            <c:numRef>
              <c:f>'2006 - 2012 Energy Use Overview'!$C$49:$I$49</c:f>
              <c:numCache>
                <c:formatCode>General</c:formatCode>
                <c:ptCount val="7"/>
                <c:pt idx="0">
                  <c:v>2006</c:v>
                </c:pt>
                <c:pt idx="1">
                  <c:v>2007</c:v>
                </c:pt>
                <c:pt idx="2">
                  <c:v>2008</c:v>
                </c:pt>
                <c:pt idx="3">
                  <c:v>2009</c:v>
                </c:pt>
                <c:pt idx="4">
                  <c:v>2010</c:v>
                </c:pt>
                <c:pt idx="5">
                  <c:v>2011</c:v>
                </c:pt>
                <c:pt idx="6">
                  <c:v>2012</c:v>
                </c:pt>
              </c:numCache>
            </c:numRef>
          </c:cat>
          <c:val>
            <c:numRef>
              <c:f>'2006 - 2012 Energy Use Overview'!$C$50:$I$50</c:f>
              <c:numCache>
                <c:formatCode>_(* #,##0_);_(* \(#,##0\);_(* "-"??_);_(@_)</c:formatCode>
                <c:ptCount val="7"/>
                <c:pt idx="0">
                  <c:v>784081.83109018579</c:v>
                </c:pt>
                <c:pt idx="1">
                  <c:v>844089.06158209266</c:v>
                </c:pt>
                <c:pt idx="2">
                  <c:v>896650.65782413702</c:v>
                </c:pt>
                <c:pt idx="3">
                  <c:v>888917.71402969281</c:v>
                </c:pt>
                <c:pt idx="4">
                  <c:v>957273.58369880763</c:v>
                </c:pt>
                <c:pt idx="5">
                  <c:v>867273.39175524737</c:v>
                </c:pt>
                <c:pt idx="6">
                  <c:v>806597.77884738252</c:v>
                </c:pt>
              </c:numCache>
            </c:numRef>
          </c:val>
        </c:ser>
        <c:ser>
          <c:idx val="1"/>
          <c:order val="1"/>
          <c:tx>
            <c:strRef>
              <c:f>'2006 - 2012 Energy Use Overview'!$B$51</c:f>
              <c:strCache>
                <c:ptCount val="1"/>
                <c:pt idx="0">
                  <c:v>Commercial</c:v>
                </c:pt>
              </c:strCache>
            </c:strRef>
          </c:tx>
          <c:marker>
            <c:symbol val="none"/>
          </c:marker>
          <c:cat>
            <c:numRef>
              <c:f>'2006 - 2012 Energy Use Overview'!$C$49:$I$49</c:f>
              <c:numCache>
                <c:formatCode>General</c:formatCode>
                <c:ptCount val="7"/>
                <c:pt idx="0">
                  <c:v>2006</c:v>
                </c:pt>
                <c:pt idx="1">
                  <c:v>2007</c:v>
                </c:pt>
                <c:pt idx="2">
                  <c:v>2008</c:v>
                </c:pt>
                <c:pt idx="3">
                  <c:v>2009</c:v>
                </c:pt>
                <c:pt idx="4">
                  <c:v>2010</c:v>
                </c:pt>
                <c:pt idx="5">
                  <c:v>2011</c:v>
                </c:pt>
                <c:pt idx="6">
                  <c:v>2012</c:v>
                </c:pt>
              </c:numCache>
            </c:numRef>
          </c:cat>
          <c:val>
            <c:numRef>
              <c:f>'2006 - 2012 Energy Use Overview'!$C$51:$I$51</c:f>
              <c:numCache>
                <c:formatCode>_(* #,##0_);_(* \(#,##0\);_(* "-"??_);_(@_)</c:formatCode>
                <c:ptCount val="7"/>
                <c:pt idx="0">
                  <c:v>415468.05896383006</c:v>
                </c:pt>
                <c:pt idx="1">
                  <c:v>464339.93809494353</c:v>
                </c:pt>
                <c:pt idx="2">
                  <c:v>557348.42022866441</c:v>
                </c:pt>
                <c:pt idx="3">
                  <c:v>573197.86059438996</c:v>
                </c:pt>
                <c:pt idx="4">
                  <c:v>608675.11525736633</c:v>
                </c:pt>
                <c:pt idx="5">
                  <c:v>575502.04264550819</c:v>
                </c:pt>
                <c:pt idx="6">
                  <c:v>556306.94621719979</c:v>
                </c:pt>
              </c:numCache>
            </c:numRef>
          </c:val>
        </c:ser>
        <c:ser>
          <c:idx val="2"/>
          <c:order val="2"/>
          <c:tx>
            <c:strRef>
              <c:f>'2006 - 2012 Energy Use Overview'!$B$52</c:f>
              <c:strCache>
                <c:ptCount val="1"/>
                <c:pt idx="0">
                  <c:v>Industrial</c:v>
                </c:pt>
              </c:strCache>
            </c:strRef>
          </c:tx>
          <c:marker>
            <c:symbol val="none"/>
          </c:marker>
          <c:cat>
            <c:numRef>
              <c:f>'2006 - 2012 Energy Use Overview'!$C$49:$I$49</c:f>
              <c:numCache>
                <c:formatCode>General</c:formatCode>
                <c:ptCount val="7"/>
                <c:pt idx="0">
                  <c:v>2006</c:v>
                </c:pt>
                <c:pt idx="1">
                  <c:v>2007</c:v>
                </c:pt>
                <c:pt idx="2">
                  <c:v>2008</c:v>
                </c:pt>
                <c:pt idx="3">
                  <c:v>2009</c:v>
                </c:pt>
                <c:pt idx="4">
                  <c:v>2010</c:v>
                </c:pt>
                <c:pt idx="5">
                  <c:v>2011</c:v>
                </c:pt>
                <c:pt idx="6">
                  <c:v>2012</c:v>
                </c:pt>
              </c:numCache>
            </c:numRef>
          </c:cat>
          <c:val>
            <c:numRef>
              <c:f>'2006 - 2012 Energy Use Overview'!$C$52:$I$52</c:f>
              <c:numCache>
                <c:formatCode>_(* #,##0_);_(* \(#,##0\);_(* "-"??_);_(@_)</c:formatCode>
                <c:ptCount val="7"/>
                <c:pt idx="0">
                  <c:v>365744.21001444</c:v>
                </c:pt>
                <c:pt idx="1">
                  <c:v>384359.68515904847</c:v>
                </c:pt>
                <c:pt idx="2">
                  <c:v>451474.93454874121</c:v>
                </c:pt>
                <c:pt idx="3">
                  <c:v>377693.05085242179</c:v>
                </c:pt>
                <c:pt idx="4">
                  <c:v>492087.18428196176</c:v>
                </c:pt>
                <c:pt idx="5">
                  <c:v>510205.14673304744</c:v>
                </c:pt>
                <c:pt idx="6">
                  <c:v>554044.36640307331</c:v>
                </c:pt>
              </c:numCache>
            </c:numRef>
          </c:val>
        </c:ser>
        <c:ser>
          <c:idx val="3"/>
          <c:order val="3"/>
          <c:tx>
            <c:strRef>
              <c:f>'2006 - 2012 Energy Use Overview'!$B$53</c:f>
              <c:strCache>
                <c:ptCount val="1"/>
                <c:pt idx="0">
                  <c:v>Public Authority</c:v>
                </c:pt>
              </c:strCache>
            </c:strRef>
          </c:tx>
          <c:marker>
            <c:symbol val="none"/>
          </c:marker>
          <c:cat>
            <c:numRef>
              <c:f>'2006 - 2012 Energy Use Overview'!$C$49:$I$49</c:f>
              <c:numCache>
                <c:formatCode>General</c:formatCode>
                <c:ptCount val="7"/>
                <c:pt idx="0">
                  <c:v>2006</c:v>
                </c:pt>
                <c:pt idx="1">
                  <c:v>2007</c:v>
                </c:pt>
                <c:pt idx="2">
                  <c:v>2008</c:v>
                </c:pt>
                <c:pt idx="3">
                  <c:v>2009</c:v>
                </c:pt>
                <c:pt idx="4">
                  <c:v>2010</c:v>
                </c:pt>
                <c:pt idx="5">
                  <c:v>2011</c:v>
                </c:pt>
                <c:pt idx="6">
                  <c:v>2012</c:v>
                </c:pt>
              </c:numCache>
            </c:numRef>
          </c:cat>
          <c:val>
            <c:numRef>
              <c:f>'2006 - 2012 Energy Use Overview'!$C$53:$I$53</c:f>
              <c:numCache>
                <c:formatCode>_(* #,##0_);_(* \(#,##0\);_(* "-"??_);_(@_)</c:formatCode>
                <c:ptCount val="7"/>
                <c:pt idx="0">
                  <c:v>91649.654160257196</c:v>
                </c:pt>
                <c:pt idx="1">
                  <c:v>97158.733359881197</c:v>
                </c:pt>
                <c:pt idx="2">
                  <c:v>109934.53974747361</c:v>
                </c:pt>
                <c:pt idx="3">
                  <c:v>105972.9735859072</c:v>
                </c:pt>
                <c:pt idx="4">
                  <c:v>105237.58418972719</c:v>
                </c:pt>
                <c:pt idx="5">
                  <c:v>104556.9616782512</c:v>
                </c:pt>
                <c:pt idx="6">
                  <c:v>92580.192731338</c:v>
                </c:pt>
              </c:numCache>
            </c:numRef>
          </c:val>
        </c:ser>
        <c:ser>
          <c:idx val="4"/>
          <c:order val="4"/>
          <c:tx>
            <c:strRef>
              <c:f>'2006 - 2012 Energy Use Overview'!$B$54</c:f>
              <c:strCache>
                <c:ptCount val="1"/>
                <c:pt idx="0">
                  <c:v>Transportation</c:v>
                </c:pt>
              </c:strCache>
            </c:strRef>
          </c:tx>
          <c:marker>
            <c:symbol val="none"/>
          </c:marker>
          <c:cat>
            <c:numRef>
              <c:f>'2006 - 2012 Energy Use Overview'!$C$49:$I$49</c:f>
              <c:numCache>
                <c:formatCode>General</c:formatCode>
                <c:ptCount val="7"/>
                <c:pt idx="0">
                  <c:v>2006</c:v>
                </c:pt>
                <c:pt idx="1">
                  <c:v>2007</c:v>
                </c:pt>
                <c:pt idx="2">
                  <c:v>2008</c:v>
                </c:pt>
                <c:pt idx="3">
                  <c:v>2009</c:v>
                </c:pt>
                <c:pt idx="4">
                  <c:v>2010</c:v>
                </c:pt>
                <c:pt idx="5">
                  <c:v>2011</c:v>
                </c:pt>
                <c:pt idx="6">
                  <c:v>2012</c:v>
                </c:pt>
              </c:numCache>
            </c:numRef>
          </c:cat>
          <c:val>
            <c:numRef>
              <c:f>'2006 - 2012 Energy Use Overview'!$C$54:$I$54</c:f>
              <c:numCache>
                <c:formatCode>_(* #,##0_);_(* \(#,##0\);_(* "-"??_);_(@_)</c:formatCode>
                <c:ptCount val="7"/>
                <c:pt idx="0">
                  <c:v>1018862.2917663176</c:v>
                </c:pt>
                <c:pt idx="1">
                  <c:v>1049204.2215972398</c:v>
                </c:pt>
                <c:pt idx="2">
                  <c:v>1030745.6063357017</c:v>
                </c:pt>
                <c:pt idx="3">
                  <c:v>1094602.1599864054</c:v>
                </c:pt>
                <c:pt idx="4">
                  <c:v>1035866.2343751689</c:v>
                </c:pt>
                <c:pt idx="5">
                  <c:v>1024227.4518535171</c:v>
                </c:pt>
                <c:pt idx="6">
                  <c:v>984469.7344547055</c:v>
                </c:pt>
              </c:numCache>
            </c:numRef>
          </c:val>
        </c:ser>
        <c:ser>
          <c:idx val="5"/>
          <c:order val="5"/>
          <c:tx>
            <c:strRef>
              <c:f>'2006 - 2012 Energy Use Overview'!$B$55</c:f>
              <c:strCache>
                <c:ptCount val="1"/>
                <c:pt idx="0">
                  <c:v>Wastewater and Water</c:v>
                </c:pt>
              </c:strCache>
            </c:strRef>
          </c:tx>
          <c:marker>
            <c:symbol val="none"/>
          </c:marker>
          <c:val>
            <c:numRef>
              <c:f>'2006 - 2012 Energy Use Overview'!$C$55:$I$55</c:f>
              <c:numCache>
                <c:formatCode>_(* #,##0_);_(* \(#,##0\);_(* "-"??_);_(@_)</c:formatCode>
                <c:ptCount val="7"/>
                <c:pt idx="0">
                  <c:v>7475.7288685244612</c:v>
                </c:pt>
                <c:pt idx="1">
                  <c:v>7372.1254102586927</c:v>
                </c:pt>
                <c:pt idx="2">
                  <c:v>7193.5080034777529</c:v>
                </c:pt>
                <c:pt idx="3">
                  <c:v>6921.6528730191258</c:v>
                </c:pt>
                <c:pt idx="4">
                  <c:v>6670.2843607818195</c:v>
                </c:pt>
                <c:pt idx="5">
                  <c:v>7559.794082582107</c:v>
                </c:pt>
                <c:pt idx="6">
                  <c:v>8792.5848741928803</c:v>
                </c:pt>
              </c:numCache>
            </c:numRef>
          </c:val>
        </c:ser>
        <c:marker val="1"/>
        <c:axId val="104383232"/>
        <c:axId val="104384768"/>
      </c:lineChart>
      <c:catAx>
        <c:axId val="104383232"/>
        <c:scaling>
          <c:orientation val="minMax"/>
        </c:scaling>
        <c:axPos val="b"/>
        <c:numFmt formatCode="General" sourceLinked="1"/>
        <c:tickLblPos val="nextTo"/>
        <c:crossAx val="104384768"/>
        <c:crosses val="autoZero"/>
        <c:auto val="1"/>
        <c:lblAlgn val="ctr"/>
        <c:lblOffset val="100"/>
      </c:catAx>
      <c:valAx>
        <c:axId val="104384768"/>
        <c:scaling>
          <c:orientation val="minMax"/>
        </c:scaling>
        <c:axPos val="l"/>
        <c:majorGridlines/>
        <c:numFmt formatCode="_(* #,##0_);_(* \(#,##0\);_(* &quot;-&quot;??_);_(@_)" sourceLinked="1"/>
        <c:tickLblPos val="nextTo"/>
        <c:crossAx val="104383232"/>
        <c:crosses val="autoZero"/>
        <c:crossBetween val="between"/>
      </c:valAx>
    </c:plotArea>
    <c:legend>
      <c:legendPos val="r"/>
      <c:layout/>
    </c:legend>
    <c:plotVisOnly val="1"/>
  </c:chart>
  <c:printSettings>
    <c:headerFooter/>
    <c:pageMargins b="0.75000000000000233" l="0.70000000000000062" r="0.70000000000000062" t="0.75000000000000233"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Energy Use by Source (MMBtu)</a:t>
            </a:r>
          </a:p>
        </c:rich>
      </c:tx>
      <c:layout/>
    </c:title>
    <c:plotArea>
      <c:layout/>
      <c:lineChart>
        <c:grouping val="standard"/>
        <c:ser>
          <c:idx val="0"/>
          <c:order val="0"/>
          <c:tx>
            <c:v>Natural Gas</c:v>
          </c:tx>
          <c:marker>
            <c:symbol val="none"/>
          </c:marker>
          <c:cat>
            <c:numRef>
              <c:f>'2006 - 2012 Energy Use Overview'!$E$20:$K$20</c:f>
              <c:numCache>
                <c:formatCode>General</c:formatCode>
                <c:ptCount val="7"/>
                <c:pt idx="0">
                  <c:v>2006</c:v>
                </c:pt>
                <c:pt idx="1">
                  <c:v>2007</c:v>
                </c:pt>
                <c:pt idx="2">
                  <c:v>2008</c:v>
                </c:pt>
                <c:pt idx="3">
                  <c:v>2009</c:v>
                </c:pt>
                <c:pt idx="4">
                  <c:v>2010</c:v>
                </c:pt>
                <c:pt idx="5">
                  <c:v>2011</c:v>
                </c:pt>
                <c:pt idx="6">
                  <c:v>2012</c:v>
                </c:pt>
              </c:numCache>
            </c:numRef>
          </c:cat>
          <c:val>
            <c:numRef>
              <c:f>'2006 - 2012 Energy Use Overview'!$E$10:$K$10</c:f>
              <c:numCache>
                <c:formatCode>_(* #,##0_);_(* \(#,##0\);_(* "-"??_);_(@_)</c:formatCode>
                <c:ptCount val="7"/>
                <c:pt idx="0">
                  <c:v>758175.85446039995</c:v>
                </c:pt>
                <c:pt idx="1">
                  <c:v>813026.96597116464</c:v>
                </c:pt>
                <c:pt idx="2">
                  <c:v>843434.4112422826</c:v>
                </c:pt>
                <c:pt idx="3">
                  <c:v>790411.80537448451</c:v>
                </c:pt>
                <c:pt idx="4">
                  <c:v>879200.92206533579</c:v>
                </c:pt>
                <c:pt idx="5">
                  <c:v>832717.81887560303</c:v>
                </c:pt>
                <c:pt idx="6">
                  <c:v>814152.13846657565</c:v>
                </c:pt>
              </c:numCache>
            </c:numRef>
          </c:val>
        </c:ser>
        <c:ser>
          <c:idx val="2"/>
          <c:order val="1"/>
          <c:tx>
            <c:v>Electricity</c:v>
          </c:tx>
          <c:marker>
            <c:symbol val="none"/>
          </c:marker>
          <c:cat>
            <c:numRef>
              <c:f>'2006 - 2012 Energy Use Overview'!$E$20:$K$20</c:f>
              <c:numCache>
                <c:formatCode>General</c:formatCode>
                <c:ptCount val="7"/>
                <c:pt idx="0">
                  <c:v>2006</c:v>
                </c:pt>
                <c:pt idx="1">
                  <c:v>2007</c:v>
                </c:pt>
                <c:pt idx="2">
                  <c:v>2008</c:v>
                </c:pt>
                <c:pt idx="3">
                  <c:v>2009</c:v>
                </c:pt>
                <c:pt idx="4">
                  <c:v>2010</c:v>
                </c:pt>
                <c:pt idx="5">
                  <c:v>2011</c:v>
                </c:pt>
                <c:pt idx="6">
                  <c:v>2012</c:v>
                </c:pt>
              </c:numCache>
            </c:numRef>
          </c:cat>
          <c:val>
            <c:numRef>
              <c:f>'2006 - 2012 Energy Use Overview'!$E$29:$K$29</c:f>
              <c:numCache>
                <c:formatCode>_(* #,##0_);_(* \(#,##0\);_(* "-"??_);_(@_)</c:formatCode>
                <c:ptCount val="7"/>
                <c:pt idx="0">
                  <c:v>865222.49976831325</c:v>
                </c:pt>
                <c:pt idx="1">
                  <c:v>943375.05222480104</c:v>
                </c:pt>
                <c:pt idx="2">
                  <c:v>1138428.7411067334</c:v>
                </c:pt>
                <c:pt idx="3">
                  <c:v>1121824.3936879274</c:v>
                </c:pt>
                <c:pt idx="4">
                  <c:v>1243614.745362527</c:v>
                </c:pt>
                <c:pt idx="5">
                  <c:v>1187065.7239364514</c:v>
                </c:pt>
                <c:pt idx="6">
                  <c:v>1157623.1457324177</c:v>
                </c:pt>
              </c:numCache>
            </c:numRef>
          </c:val>
        </c:ser>
        <c:ser>
          <c:idx val="3"/>
          <c:order val="2"/>
          <c:tx>
            <c:v>Mobile Combustion</c:v>
          </c:tx>
          <c:marker>
            <c:symbol val="none"/>
          </c:marker>
          <c:cat>
            <c:numRef>
              <c:f>'2006 - 2012 Energy Use Overview'!$E$20:$K$20</c:f>
              <c:numCache>
                <c:formatCode>General</c:formatCode>
                <c:ptCount val="7"/>
                <c:pt idx="0">
                  <c:v>2006</c:v>
                </c:pt>
                <c:pt idx="1">
                  <c:v>2007</c:v>
                </c:pt>
                <c:pt idx="2">
                  <c:v>2008</c:v>
                </c:pt>
                <c:pt idx="3">
                  <c:v>2009</c:v>
                </c:pt>
                <c:pt idx="4">
                  <c:v>2010</c:v>
                </c:pt>
                <c:pt idx="5">
                  <c:v>2011</c:v>
                </c:pt>
                <c:pt idx="6">
                  <c:v>2012</c:v>
                </c:pt>
              </c:numCache>
            </c:numRef>
          </c:cat>
          <c:val>
            <c:numRef>
              <c:f>'2006 - 2012 Energy Use Overview'!$E$41:$K$41</c:f>
              <c:numCache>
                <c:formatCode>_(* #,##0_);_(* \(#,##0\);_(* "-"??_);_(@_)</c:formatCode>
                <c:ptCount val="7"/>
                <c:pt idx="0">
                  <c:v>1018862.2917663176</c:v>
                </c:pt>
                <c:pt idx="1">
                  <c:v>1049204.2215972398</c:v>
                </c:pt>
                <c:pt idx="2">
                  <c:v>1030745.6063357017</c:v>
                </c:pt>
                <c:pt idx="3">
                  <c:v>1094602.1599864054</c:v>
                </c:pt>
                <c:pt idx="4">
                  <c:v>1035866.2343751689</c:v>
                </c:pt>
                <c:pt idx="5">
                  <c:v>1024227.4518535171</c:v>
                </c:pt>
                <c:pt idx="6">
                  <c:v>984469.7344547055</c:v>
                </c:pt>
              </c:numCache>
            </c:numRef>
          </c:val>
        </c:ser>
        <c:ser>
          <c:idx val="1"/>
          <c:order val="3"/>
          <c:tx>
            <c:v>Other Stationary Combustion</c:v>
          </c:tx>
          <c:marker>
            <c:symbol val="none"/>
          </c:marker>
          <c:val>
            <c:numRef>
              <c:f>'2006 - 2012 Energy Use Overview'!$E$17:$K$17</c:f>
              <c:numCache>
                <c:formatCode>_(* #,##0_);_(* \(#,##0\);_(* "-"??_);_(@_)</c:formatCode>
                <c:ptCount val="7"/>
                <c:pt idx="0">
                  <c:v>33545.4</c:v>
                </c:pt>
                <c:pt idx="1">
                  <c:v>33545.4</c:v>
                </c:pt>
                <c:pt idx="2">
                  <c:v>33545.4</c:v>
                </c:pt>
                <c:pt idx="3">
                  <c:v>33545.4</c:v>
                </c:pt>
                <c:pt idx="4">
                  <c:v>40457.800000000003</c:v>
                </c:pt>
                <c:pt idx="5">
                  <c:v>37754</c:v>
                </c:pt>
                <c:pt idx="6">
                  <c:v>37754</c:v>
                </c:pt>
              </c:numCache>
            </c:numRef>
          </c:val>
        </c:ser>
        <c:ser>
          <c:idx val="4"/>
          <c:order val="4"/>
          <c:tx>
            <c:strRef>
              <c:f>'2006 - 2012 Energy Use Overview'!$B$42</c:f>
              <c:strCache>
                <c:ptCount val="1"/>
                <c:pt idx="0">
                  <c:v>Wastewater and Water</c:v>
                </c:pt>
              </c:strCache>
            </c:strRef>
          </c:tx>
          <c:marker>
            <c:symbol val="none"/>
          </c:marker>
          <c:val>
            <c:numRef>
              <c:f>'2006 - 2012 Energy Use Overview'!$E$45:$K$45</c:f>
              <c:numCache>
                <c:formatCode>_(* #,##0_);_(* \(#,##0\);_(* "-"??_);_(@_)</c:formatCode>
                <c:ptCount val="7"/>
                <c:pt idx="0">
                  <c:v>7475.7288685244612</c:v>
                </c:pt>
                <c:pt idx="1">
                  <c:v>7372.1254102586927</c:v>
                </c:pt>
                <c:pt idx="2">
                  <c:v>7193.5080034777529</c:v>
                </c:pt>
                <c:pt idx="3">
                  <c:v>6921.6528730191258</c:v>
                </c:pt>
                <c:pt idx="4">
                  <c:v>6670.2843607818195</c:v>
                </c:pt>
                <c:pt idx="5">
                  <c:v>7559.794082582107</c:v>
                </c:pt>
                <c:pt idx="6">
                  <c:v>8792.5848741928803</c:v>
                </c:pt>
              </c:numCache>
            </c:numRef>
          </c:val>
        </c:ser>
        <c:marker val="1"/>
        <c:axId val="104412288"/>
        <c:axId val="104413824"/>
      </c:lineChart>
      <c:catAx>
        <c:axId val="104412288"/>
        <c:scaling>
          <c:orientation val="minMax"/>
        </c:scaling>
        <c:axPos val="b"/>
        <c:numFmt formatCode="General" sourceLinked="1"/>
        <c:tickLblPos val="nextTo"/>
        <c:crossAx val="104413824"/>
        <c:crosses val="autoZero"/>
        <c:auto val="1"/>
        <c:lblAlgn val="ctr"/>
        <c:lblOffset val="100"/>
      </c:catAx>
      <c:valAx>
        <c:axId val="104413824"/>
        <c:scaling>
          <c:orientation val="minMax"/>
        </c:scaling>
        <c:axPos val="l"/>
        <c:majorGridlines/>
        <c:numFmt formatCode="_(* #,##0_);_(* \(#,##0\);_(* &quot;-&quot;??_);_(@_)" sourceLinked="1"/>
        <c:tickLblPos val="nextTo"/>
        <c:crossAx val="104412288"/>
        <c:crosses val="autoZero"/>
        <c:crossBetween val="between"/>
      </c:valAx>
    </c:plotArea>
    <c:legend>
      <c:legendPos val="r"/>
      <c:layout/>
    </c:legend>
    <c:plotVisOnly val="1"/>
  </c:chart>
  <c:printSettings>
    <c:headerFooter/>
    <c:pageMargins b="0.75000000000000233" l="0.70000000000000062" r="0.70000000000000062" t="0.75000000000000233"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Emissions by Source (kg CO</a:t>
            </a:r>
            <a:r>
              <a:rPr lang="en-US" baseline="-25000"/>
              <a:t>2</a:t>
            </a:r>
            <a:r>
              <a:rPr lang="en-US" baseline="0"/>
              <a:t> eq)</a:t>
            </a:r>
            <a:endParaRPr lang="en-US"/>
          </a:p>
        </c:rich>
      </c:tx>
    </c:title>
    <c:plotArea>
      <c:layout/>
      <c:barChart>
        <c:barDir val="col"/>
        <c:grouping val="clustered"/>
        <c:ser>
          <c:idx val="0"/>
          <c:order val="0"/>
          <c:tx>
            <c:strRef>
              <c:f>'2012 Inventory'!$A$1:$A$2</c:f>
              <c:strCache>
                <c:ptCount val="1"/>
                <c:pt idx="0">
                  <c:v>Blacksburg Emissions Inventory 2012</c:v>
                </c:pt>
              </c:strCache>
            </c:strRef>
          </c:tx>
          <c:cat>
            <c:strRef>
              <c:f>'2006 Inventory'!$AD$1:$AD$6</c:f>
              <c:strCache>
                <c:ptCount val="6"/>
                <c:pt idx="0">
                  <c:v>Natural Gas</c:v>
                </c:pt>
                <c:pt idx="1">
                  <c:v>Other Stationary Combustion</c:v>
                </c:pt>
                <c:pt idx="2">
                  <c:v>Electricity</c:v>
                </c:pt>
                <c:pt idx="3">
                  <c:v>Mobile Combustion</c:v>
                </c:pt>
                <c:pt idx="4">
                  <c:v>Water and Wastewater</c:v>
                </c:pt>
                <c:pt idx="5">
                  <c:v>Solid Waste</c:v>
                </c:pt>
              </c:strCache>
            </c:strRef>
          </c:cat>
          <c:val>
            <c:numRef>
              <c:f>('2012 Inventory'!$O$10,'2012 Inventory'!$O$17,'2012 Inventory'!$O$29,'2012 Inventory'!$O$41,'2012 Inventory'!$O$49,'2012 Inventory'!$O$56)</c:f>
              <c:numCache>
                <c:formatCode>_(* #,##0_);_(* \(#,##0\);_(* "-"??_);_(@_)</c:formatCode>
                <c:ptCount val="6"/>
                <c:pt idx="0">
                  <c:v>43162048.30882179</c:v>
                </c:pt>
                <c:pt idx="1">
                  <c:v>2845210.2640869566</c:v>
                </c:pt>
                <c:pt idx="2">
                  <c:v>246478962.89266747</c:v>
                </c:pt>
                <c:pt idx="3">
                  <c:v>73940755.826632604</c:v>
                </c:pt>
                <c:pt idx="4">
                  <c:v>11847231.803672438</c:v>
                </c:pt>
                <c:pt idx="5">
                  <c:v>300883.76297652099</c:v>
                </c:pt>
              </c:numCache>
            </c:numRef>
          </c:val>
        </c:ser>
        <c:axId val="106762624"/>
        <c:axId val="106764160"/>
      </c:barChart>
      <c:catAx>
        <c:axId val="106762624"/>
        <c:scaling>
          <c:orientation val="minMax"/>
        </c:scaling>
        <c:axPos val="b"/>
        <c:tickLblPos val="nextTo"/>
        <c:crossAx val="106764160"/>
        <c:crosses val="autoZero"/>
        <c:auto val="1"/>
        <c:lblAlgn val="ctr"/>
        <c:lblOffset val="100"/>
      </c:catAx>
      <c:valAx>
        <c:axId val="106764160"/>
        <c:scaling>
          <c:orientation val="minMax"/>
        </c:scaling>
        <c:axPos val="l"/>
        <c:majorGridlines/>
        <c:numFmt formatCode="_(* #,##0_);_(* \(#,##0\);_(* &quot;-&quot;??_);_(@_)" sourceLinked="1"/>
        <c:tickLblPos val="nextTo"/>
        <c:crossAx val="106762624"/>
        <c:crosses val="autoZero"/>
        <c:crossBetween val="between"/>
      </c:valAx>
    </c:plotArea>
    <c:legend>
      <c:legendPos val="r"/>
      <c:txPr>
        <a:bodyPr/>
        <a:lstStyle/>
        <a:p>
          <a:pPr rtl="0">
            <a:defRPr/>
          </a:pPr>
          <a:endParaRPr lang="en-US"/>
        </a:p>
      </c:txPr>
    </c:legend>
    <c:plotVisOnly val="1"/>
  </c:chart>
  <c:printSettings>
    <c:headerFooter/>
    <c:pageMargins b="0.75000000000000266" l="0.70000000000000062" r="0.70000000000000062" t="0.75000000000000266"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a:t>Emissions by Sector </a:t>
            </a:r>
            <a:r>
              <a:rPr lang="en-US" sz="1800" b="1" i="0" baseline="0"/>
              <a:t>(kg CO</a:t>
            </a:r>
            <a:r>
              <a:rPr lang="en-US" sz="1800" b="1" i="0" baseline="-25000"/>
              <a:t>2</a:t>
            </a:r>
            <a:r>
              <a:rPr lang="en-US" sz="1800" b="1" i="0" baseline="0"/>
              <a:t> eq)</a:t>
            </a:r>
          </a:p>
        </c:rich>
      </c:tx>
    </c:title>
    <c:plotArea>
      <c:layout/>
      <c:barChart>
        <c:barDir val="col"/>
        <c:grouping val="clustered"/>
        <c:ser>
          <c:idx val="0"/>
          <c:order val="0"/>
          <c:tx>
            <c:strRef>
              <c:f>'2012 Inventory'!$C$60</c:f>
              <c:strCache>
                <c:ptCount val="1"/>
                <c:pt idx="0">
                  <c:v>Total Emissions (kg CO2-e)</c:v>
                </c:pt>
              </c:strCache>
            </c:strRef>
          </c:tx>
          <c:cat>
            <c:strRef>
              <c:f>'2012 Inventory'!$A$61:$A$67</c:f>
              <c:strCache>
                <c:ptCount val="7"/>
                <c:pt idx="0">
                  <c:v>Residential</c:v>
                </c:pt>
                <c:pt idx="1">
                  <c:v>Commercial</c:v>
                </c:pt>
                <c:pt idx="2">
                  <c:v>Industrial</c:v>
                </c:pt>
                <c:pt idx="3">
                  <c:v>Public Authority</c:v>
                </c:pt>
                <c:pt idx="4">
                  <c:v>Transportation</c:v>
                </c:pt>
                <c:pt idx="5">
                  <c:v>Water and Wastewater</c:v>
                </c:pt>
                <c:pt idx="6">
                  <c:v>Solid Waste</c:v>
                </c:pt>
              </c:strCache>
            </c:strRef>
          </c:cat>
          <c:val>
            <c:numRef>
              <c:f>'2012 Inventory'!$C$61:$C$67</c:f>
              <c:numCache>
                <c:formatCode>_(* #,##0_);_(* \(#,##0\);_(* "-"??_);_(@_)</c:formatCode>
                <c:ptCount val="7"/>
                <c:pt idx="0">
                  <c:v>123251470.71081419</c:v>
                </c:pt>
                <c:pt idx="1">
                  <c:v>89539088.600648433</c:v>
                </c:pt>
                <c:pt idx="2">
                  <c:v>66711181.004970886</c:v>
                </c:pt>
                <c:pt idx="3">
                  <c:v>12984481.14914272</c:v>
                </c:pt>
                <c:pt idx="4">
                  <c:v>73940755.826632604</c:v>
                </c:pt>
                <c:pt idx="5">
                  <c:v>11847231.803672438</c:v>
                </c:pt>
                <c:pt idx="6">
                  <c:v>300883.76297652099</c:v>
                </c:pt>
              </c:numCache>
            </c:numRef>
          </c:val>
        </c:ser>
        <c:axId val="106791296"/>
        <c:axId val="106792832"/>
      </c:barChart>
      <c:catAx>
        <c:axId val="106791296"/>
        <c:scaling>
          <c:orientation val="minMax"/>
        </c:scaling>
        <c:axPos val="b"/>
        <c:tickLblPos val="nextTo"/>
        <c:crossAx val="106792832"/>
        <c:crosses val="autoZero"/>
        <c:auto val="1"/>
        <c:lblAlgn val="ctr"/>
        <c:lblOffset val="100"/>
      </c:catAx>
      <c:valAx>
        <c:axId val="106792832"/>
        <c:scaling>
          <c:orientation val="minMax"/>
        </c:scaling>
        <c:axPos val="l"/>
        <c:majorGridlines/>
        <c:numFmt formatCode="_(* #,##0_);_(* \(#,##0\);_(* &quot;-&quot;??_);_(@_)" sourceLinked="1"/>
        <c:tickLblPos val="nextTo"/>
        <c:crossAx val="106791296"/>
        <c:crosses val="autoZero"/>
        <c:crossBetween val="between"/>
      </c:valAx>
    </c:plotArea>
    <c:legend>
      <c:legendPos val="r"/>
    </c:legend>
    <c:plotVisOnly val="1"/>
  </c:chart>
  <c:printSettings>
    <c:headerFooter/>
    <c:pageMargins b="0.75000000000000266" l="0.70000000000000062" r="0.70000000000000062" t="0.7500000000000026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Energy Use</a:t>
            </a:r>
          </a:p>
        </c:rich>
      </c:tx>
      <c:layout>
        <c:manualLayout>
          <c:xMode val="edge"/>
          <c:yMode val="edge"/>
          <c:x val="0.21831933508311482"/>
          <c:y val="4.1666666666666664E-2"/>
        </c:manualLayout>
      </c:layout>
    </c:title>
    <c:plotArea>
      <c:layout/>
      <c:pieChart>
        <c:varyColors val="1"/>
        <c:ser>
          <c:idx val="0"/>
          <c:order val="0"/>
          <c:tx>
            <c:strRef>
              <c:f>'2012 Inventory'!$B$60</c:f>
              <c:strCache>
                <c:ptCount val="1"/>
                <c:pt idx="0">
                  <c:v>Total Energy Use (MMBtu)</c:v>
                </c:pt>
              </c:strCache>
            </c:strRef>
          </c:tx>
          <c:dLbls>
            <c:showPercent val="1"/>
          </c:dLbls>
          <c:cat>
            <c:strRef>
              <c:f>'2012 Inventory'!$A$61:$A$66</c:f>
              <c:strCache>
                <c:ptCount val="6"/>
                <c:pt idx="0">
                  <c:v>Residential</c:v>
                </c:pt>
                <c:pt idx="1">
                  <c:v>Commercial</c:v>
                </c:pt>
                <c:pt idx="2">
                  <c:v>Industrial</c:v>
                </c:pt>
                <c:pt idx="3">
                  <c:v>Public Authority</c:v>
                </c:pt>
                <c:pt idx="4">
                  <c:v>Transportation</c:v>
                </c:pt>
                <c:pt idx="5">
                  <c:v>Water and Wastewater</c:v>
                </c:pt>
              </c:strCache>
            </c:strRef>
          </c:cat>
          <c:val>
            <c:numRef>
              <c:f>'2012 Inventory'!$B$61:$B$66</c:f>
              <c:numCache>
                <c:formatCode>_(* #,##0_);_(* \(#,##0\);_(* "-"??_);_(@_)</c:formatCode>
                <c:ptCount val="6"/>
                <c:pt idx="0">
                  <c:v>806597.77884738264</c:v>
                </c:pt>
                <c:pt idx="1">
                  <c:v>556306.94621719979</c:v>
                </c:pt>
                <c:pt idx="2">
                  <c:v>554044.36640307342</c:v>
                </c:pt>
                <c:pt idx="3">
                  <c:v>92580.192731338</c:v>
                </c:pt>
                <c:pt idx="4">
                  <c:v>984469.7344547055</c:v>
                </c:pt>
                <c:pt idx="5">
                  <c:v>8792.5848741928803</c:v>
                </c:pt>
              </c:numCache>
            </c:numRef>
          </c:val>
        </c:ser>
        <c:dLbls>
          <c:showPercent val="1"/>
        </c:dLbls>
        <c:firstSliceAng val="0"/>
      </c:pieChart>
    </c:plotArea>
    <c:legend>
      <c:legendPos val="r"/>
      <c:layout/>
      <c:txPr>
        <a:bodyPr/>
        <a:lstStyle/>
        <a:p>
          <a:pPr rtl="0">
            <a:defRPr/>
          </a:pPr>
          <a:endParaRPr lang="en-US"/>
        </a:p>
      </c:txPr>
    </c:legend>
    <c:plotVisOnly val="1"/>
  </c:chart>
  <c:spPr>
    <a:ln>
      <a:no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5" Type="http://schemas.openxmlformats.org/officeDocument/2006/relationships/image" Target="../media/image23.png"/><Relationship Id="rId4" Type="http://schemas.openxmlformats.org/officeDocument/2006/relationships/image" Target="../media/image22.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4" Type="http://schemas.openxmlformats.org/officeDocument/2006/relationships/image" Target="../media/image27.png"/></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0</xdr:col>
      <xdr:colOff>57150</xdr:colOff>
      <xdr:row>0</xdr:row>
      <xdr:rowOff>38100</xdr:rowOff>
    </xdr:from>
    <xdr:to>
      <xdr:col>0</xdr:col>
      <xdr:colOff>8343900</xdr:colOff>
      <xdr:row>20</xdr:row>
      <xdr:rowOff>38100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20</xdr:row>
      <xdr:rowOff>180975</xdr:rowOff>
    </xdr:from>
    <xdr:to>
      <xdr:col>0</xdr:col>
      <xdr:colOff>8362950</xdr:colOff>
      <xdr:row>37</xdr:row>
      <xdr:rowOff>47625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38</xdr:row>
      <xdr:rowOff>19050</xdr:rowOff>
    </xdr:from>
    <xdr:to>
      <xdr:col>0</xdr:col>
      <xdr:colOff>8353424</xdr:colOff>
      <xdr:row>66</xdr:row>
      <xdr:rowOff>95250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495300</xdr:colOff>
      <xdr:row>40</xdr:row>
      <xdr:rowOff>31296</xdr:rowOff>
    </xdr:from>
    <xdr:to>
      <xdr:col>40</xdr:col>
      <xdr:colOff>676275</xdr:colOff>
      <xdr:row>61</xdr:row>
      <xdr:rowOff>57150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36</xdr:row>
      <xdr:rowOff>38099</xdr:rowOff>
    </xdr:from>
    <xdr:to>
      <xdr:col>17</xdr:col>
      <xdr:colOff>228600</xdr:colOff>
      <xdr:row>61</xdr:row>
      <xdr:rowOff>142874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400050</xdr:colOff>
      <xdr:row>1</xdr:row>
      <xdr:rowOff>0</xdr:rowOff>
    </xdr:from>
    <xdr:to>
      <xdr:col>30</xdr:col>
      <xdr:colOff>266700</xdr:colOff>
      <xdr:row>24</xdr:row>
      <xdr:rowOff>95250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28575</xdr:colOff>
      <xdr:row>25</xdr:row>
      <xdr:rowOff>114300</xdr:rowOff>
    </xdr:from>
    <xdr:to>
      <xdr:col>4</xdr:col>
      <xdr:colOff>781050</xdr:colOff>
      <xdr:row>56</xdr:row>
      <xdr:rowOff>161925</xdr:rowOff>
    </xdr:to>
    <xdr:pic>
      <xdr:nvPicPr>
        <xdr:cNvPr id="1026" name="Picture 2"/>
        <xdr:cNvPicPr>
          <a:picLocks noChangeAspect="1" noChangeArrowheads="1"/>
        </xdr:cNvPicPr>
      </xdr:nvPicPr>
      <xdr:blipFill>
        <a:blip xmlns:r="http://schemas.openxmlformats.org/officeDocument/2006/relationships" r:embed="rId1"/>
        <a:srcRect/>
        <a:stretch>
          <a:fillRect/>
        </a:stretch>
      </xdr:blipFill>
      <xdr:spPr bwMode="auto">
        <a:xfrm>
          <a:off x="28575" y="4876800"/>
          <a:ext cx="4524375" cy="5953125"/>
        </a:xfrm>
        <a:prstGeom prst="rect">
          <a:avLst/>
        </a:prstGeom>
        <a:noFill/>
        <a:ln w="1">
          <a:noFill/>
          <a:miter lim="800000"/>
          <a:headEnd/>
          <a:tailEnd type="none" w="med" len="med"/>
        </a:ln>
        <a:effectLst/>
      </xdr:spPr>
    </xdr:pic>
    <xdr:clientData/>
  </xdr:twoCellAnchor>
  <xdr:twoCellAnchor editAs="oneCell">
    <xdr:from>
      <xdr:col>0</xdr:col>
      <xdr:colOff>85725</xdr:colOff>
      <xdr:row>56</xdr:row>
      <xdr:rowOff>114300</xdr:rowOff>
    </xdr:from>
    <xdr:to>
      <xdr:col>4</xdr:col>
      <xdr:colOff>762000</xdr:colOff>
      <xdr:row>68</xdr:row>
      <xdr:rowOff>76200</xdr:rowOff>
    </xdr:to>
    <xdr:pic>
      <xdr:nvPicPr>
        <xdr:cNvPr id="1027" name="Picture 3"/>
        <xdr:cNvPicPr>
          <a:picLocks noChangeAspect="1" noChangeArrowheads="1"/>
        </xdr:cNvPicPr>
      </xdr:nvPicPr>
      <xdr:blipFill>
        <a:blip xmlns:r="http://schemas.openxmlformats.org/officeDocument/2006/relationships" r:embed="rId2"/>
        <a:srcRect/>
        <a:stretch>
          <a:fillRect/>
        </a:stretch>
      </xdr:blipFill>
      <xdr:spPr bwMode="auto">
        <a:xfrm>
          <a:off x="85725" y="10782300"/>
          <a:ext cx="4448175" cy="2247900"/>
        </a:xfrm>
        <a:prstGeom prst="rect">
          <a:avLst/>
        </a:prstGeom>
        <a:noFill/>
        <a:ln w="1">
          <a:noFill/>
          <a:miter lim="800000"/>
          <a:headEnd/>
          <a:tailEnd type="none" w="med" len="med"/>
        </a:ln>
        <a:effectLst/>
      </xdr:spPr>
    </xdr:pic>
    <xdr:clientData/>
  </xdr:twoCellAnchor>
  <xdr:twoCellAnchor editAs="oneCell">
    <xdr:from>
      <xdr:col>0</xdr:col>
      <xdr:colOff>104775</xdr:colOff>
      <xdr:row>2</xdr:row>
      <xdr:rowOff>38100</xdr:rowOff>
    </xdr:from>
    <xdr:to>
      <xdr:col>4</xdr:col>
      <xdr:colOff>771525</xdr:colOff>
      <xdr:row>27</xdr:row>
      <xdr:rowOff>104775</xdr:rowOff>
    </xdr:to>
    <xdr:pic>
      <xdr:nvPicPr>
        <xdr:cNvPr id="1028" name="Picture 4"/>
        <xdr:cNvPicPr>
          <a:picLocks noChangeAspect="1" noChangeArrowheads="1"/>
        </xdr:cNvPicPr>
      </xdr:nvPicPr>
      <xdr:blipFill>
        <a:blip xmlns:r="http://schemas.openxmlformats.org/officeDocument/2006/relationships" r:embed="rId3"/>
        <a:srcRect/>
        <a:stretch>
          <a:fillRect/>
        </a:stretch>
      </xdr:blipFill>
      <xdr:spPr bwMode="auto">
        <a:xfrm>
          <a:off x="104775" y="419100"/>
          <a:ext cx="4438650" cy="4829175"/>
        </a:xfrm>
        <a:prstGeom prst="rect">
          <a:avLst/>
        </a:prstGeom>
        <a:noFill/>
        <a:ln w="1">
          <a:noFill/>
          <a:miter lim="800000"/>
          <a:headEnd/>
          <a:tailEnd type="none" w="med" len="med"/>
        </a:ln>
        <a:effectLst/>
      </xdr:spPr>
    </xdr:pic>
    <xdr:clientData/>
  </xdr:twoCellAnchor>
  <xdr:twoCellAnchor editAs="oneCell">
    <xdr:from>
      <xdr:col>4</xdr:col>
      <xdr:colOff>847725</xdr:colOff>
      <xdr:row>1</xdr:row>
      <xdr:rowOff>180975</xdr:rowOff>
    </xdr:from>
    <xdr:to>
      <xdr:col>12</xdr:col>
      <xdr:colOff>314325</xdr:colOff>
      <xdr:row>31</xdr:row>
      <xdr:rowOff>180975</xdr:rowOff>
    </xdr:to>
    <xdr:pic>
      <xdr:nvPicPr>
        <xdr:cNvPr id="1030" name="Picture 6"/>
        <xdr:cNvPicPr>
          <a:picLocks noChangeAspect="1" noChangeArrowheads="1"/>
        </xdr:cNvPicPr>
      </xdr:nvPicPr>
      <xdr:blipFill>
        <a:blip xmlns:r="http://schemas.openxmlformats.org/officeDocument/2006/relationships" r:embed="rId4"/>
        <a:srcRect/>
        <a:stretch>
          <a:fillRect/>
        </a:stretch>
      </xdr:blipFill>
      <xdr:spPr bwMode="auto">
        <a:xfrm>
          <a:off x="4619625" y="371475"/>
          <a:ext cx="5343525" cy="5715000"/>
        </a:xfrm>
        <a:prstGeom prst="rect">
          <a:avLst/>
        </a:prstGeom>
        <a:noFill/>
        <a:ln w="1">
          <a:noFill/>
          <a:miter lim="800000"/>
          <a:headEnd/>
          <a:tailEnd type="none" w="med" len="med"/>
        </a:ln>
        <a:effectLst/>
      </xdr:spPr>
    </xdr:pic>
    <xdr:clientData/>
  </xdr:twoCellAnchor>
  <xdr:twoCellAnchor editAs="oneCell">
    <xdr:from>
      <xdr:col>12</xdr:col>
      <xdr:colOff>295275</xdr:colOff>
      <xdr:row>2</xdr:row>
      <xdr:rowOff>0</xdr:rowOff>
    </xdr:from>
    <xdr:to>
      <xdr:col>18</xdr:col>
      <xdr:colOff>76200</xdr:colOff>
      <xdr:row>33</xdr:row>
      <xdr:rowOff>28575</xdr:rowOff>
    </xdr:to>
    <xdr:pic>
      <xdr:nvPicPr>
        <xdr:cNvPr id="3073" name="Picture 1"/>
        <xdr:cNvPicPr>
          <a:picLocks noChangeAspect="1" noChangeArrowheads="1"/>
        </xdr:cNvPicPr>
      </xdr:nvPicPr>
      <xdr:blipFill>
        <a:blip xmlns:r="http://schemas.openxmlformats.org/officeDocument/2006/relationships" r:embed="rId5"/>
        <a:srcRect/>
        <a:stretch>
          <a:fillRect/>
        </a:stretch>
      </xdr:blipFill>
      <xdr:spPr bwMode="auto">
        <a:xfrm>
          <a:off x="9944100" y="381000"/>
          <a:ext cx="4591050" cy="5934075"/>
        </a:xfrm>
        <a:prstGeom prst="rect">
          <a:avLst/>
        </a:prstGeom>
        <a:noFill/>
        <a:ln w="1">
          <a:noFill/>
          <a:miter lim="800000"/>
          <a:headEnd/>
          <a:tailEnd type="none" w="med" len="med"/>
        </a:ln>
        <a:effectLst/>
      </xdr:spPr>
    </xdr:pic>
    <xdr:clientData/>
  </xdr:twoCellAnchor>
  <xdr:twoCellAnchor editAs="oneCell">
    <xdr:from>
      <xdr:col>15</xdr:col>
      <xdr:colOff>1476375</xdr:colOff>
      <xdr:row>30</xdr:row>
      <xdr:rowOff>171450</xdr:rowOff>
    </xdr:from>
    <xdr:to>
      <xdr:col>22</xdr:col>
      <xdr:colOff>9525</xdr:colOff>
      <xdr:row>41</xdr:row>
      <xdr:rowOff>114300</xdr:rowOff>
    </xdr:to>
    <xdr:pic>
      <xdr:nvPicPr>
        <xdr:cNvPr id="3074" name="Picture 2"/>
        <xdr:cNvPicPr>
          <a:picLocks noChangeAspect="1" noChangeArrowheads="1"/>
        </xdr:cNvPicPr>
      </xdr:nvPicPr>
      <xdr:blipFill>
        <a:blip xmlns:r="http://schemas.openxmlformats.org/officeDocument/2006/relationships" r:embed="rId6"/>
        <a:srcRect/>
        <a:stretch>
          <a:fillRect/>
        </a:stretch>
      </xdr:blipFill>
      <xdr:spPr bwMode="auto">
        <a:xfrm>
          <a:off x="10010775" y="5886450"/>
          <a:ext cx="3952875" cy="2038350"/>
        </a:xfrm>
        <a:prstGeom prst="rect">
          <a:avLst/>
        </a:prstGeom>
        <a:noFill/>
        <a:ln w="1">
          <a:noFill/>
          <a:miter lim="800000"/>
          <a:headEnd/>
          <a:tailEnd type="none" w="med" len="med"/>
        </a:ln>
        <a:effectLst/>
      </xdr:spPr>
    </xdr:pic>
    <xdr:clientData/>
  </xdr:twoCellAnchor>
  <xdr:twoCellAnchor editAs="oneCell">
    <xdr:from>
      <xdr:col>18</xdr:col>
      <xdr:colOff>85725</xdr:colOff>
      <xdr:row>1</xdr:row>
      <xdr:rowOff>152400</xdr:rowOff>
    </xdr:from>
    <xdr:to>
      <xdr:col>25</xdr:col>
      <xdr:colOff>476250</xdr:colOff>
      <xdr:row>34</xdr:row>
      <xdr:rowOff>0</xdr:rowOff>
    </xdr:to>
    <xdr:pic>
      <xdr:nvPicPr>
        <xdr:cNvPr id="3075" name="Picture 3"/>
        <xdr:cNvPicPr>
          <a:picLocks noChangeAspect="1" noChangeArrowheads="1"/>
        </xdr:cNvPicPr>
      </xdr:nvPicPr>
      <xdr:blipFill>
        <a:blip xmlns:r="http://schemas.openxmlformats.org/officeDocument/2006/relationships" r:embed="rId7"/>
        <a:srcRect/>
        <a:stretch>
          <a:fillRect/>
        </a:stretch>
      </xdr:blipFill>
      <xdr:spPr bwMode="auto">
        <a:xfrm>
          <a:off x="14544675" y="342900"/>
          <a:ext cx="4657725" cy="6134100"/>
        </a:xfrm>
        <a:prstGeom prst="rect">
          <a:avLst/>
        </a:prstGeom>
        <a:noFill/>
        <a:ln w="1">
          <a:noFill/>
          <a:miter lim="800000"/>
          <a:headEnd/>
          <a:tailEnd type="none" w="med" len="med"/>
        </a:ln>
        <a:effectLst/>
      </xdr:spPr>
    </xdr:pic>
    <xdr:clientData/>
  </xdr:twoCellAnchor>
  <xdr:twoCellAnchor editAs="oneCell">
    <xdr:from>
      <xdr:col>25</xdr:col>
      <xdr:colOff>581025</xdr:colOff>
      <xdr:row>1</xdr:row>
      <xdr:rowOff>133350</xdr:rowOff>
    </xdr:from>
    <xdr:to>
      <xdr:col>34</xdr:col>
      <xdr:colOff>133350</xdr:colOff>
      <xdr:row>29</xdr:row>
      <xdr:rowOff>57150</xdr:rowOff>
    </xdr:to>
    <xdr:pic>
      <xdr:nvPicPr>
        <xdr:cNvPr id="3076" name="Picture 4"/>
        <xdr:cNvPicPr>
          <a:picLocks noChangeAspect="1" noChangeArrowheads="1"/>
        </xdr:cNvPicPr>
      </xdr:nvPicPr>
      <xdr:blipFill>
        <a:blip xmlns:r="http://schemas.openxmlformats.org/officeDocument/2006/relationships" r:embed="rId8"/>
        <a:srcRect/>
        <a:stretch>
          <a:fillRect/>
        </a:stretch>
      </xdr:blipFill>
      <xdr:spPr bwMode="auto">
        <a:xfrm>
          <a:off x="19307175" y="323850"/>
          <a:ext cx="5038725" cy="5257800"/>
        </a:xfrm>
        <a:prstGeom prst="rect">
          <a:avLst/>
        </a:prstGeom>
        <a:noFill/>
        <a:ln w="1">
          <a:noFill/>
          <a:miter lim="800000"/>
          <a:headEnd/>
          <a:tailEnd type="none" w="med" len="med"/>
        </a:ln>
        <a:effec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171450</xdr:rowOff>
    </xdr:from>
    <xdr:to>
      <xdr:col>10</xdr:col>
      <xdr:colOff>400050</xdr:colOff>
      <xdr:row>30</xdr:row>
      <xdr:rowOff>161925</xdr:rowOff>
    </xdr:to>
    <xdr:pic>
      <xdr:nvPicPr>
        <xdr:cNvPr id="2049" name="Picture 1"/>
        <xdr:cNvPicPr>
          <a:picLocks noChangeAspect="1" noChangeArrowheads="1"/>
        </xdr:cNvPicPr>
      </xdr:nvPicPr>
      <xdr:blipFill>
        <a:blip xmlns:r="http://schemas.openxmlformats.org/officeDocument/2006/relationships" r:embed="rId1"/>
        <a:srcRect/>
        <a:stretch>
          <a:fillRect/>
        </a:stretch>
      </xdr:blipFill>
      <xdr:spPr bwMode="auto">
        <a:xfrm>
          <a:off x="0" y="361950"/>
          <a:ext cx="8829675" cy="5514975"/>
        </a:xfrm>
        <a:prstGeom prst="rect">
          <a:avLst/>
        </a:prstGeom>
        <a:noFill/>
        <a:ln w="1">
          <a:noFill/>
          <a:miter lim="800000"/>
          <a:headEnd/>
          <a:tailEnd type="none" w="med" len="med"/>
        </a:ln>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152400</xdr:colOff>
      <xdr:row>1</xdr:row>
      <xdr:rowOff>47625</xdr:rowOff>
    </xdr:from>
    <xdr:to>
      <xdr:col>20</xdr:col>
      <xdr:colOff>266700</xdr:colOff>
      <xdr:row>26</xdr:row>
      <xdr:rowOff>114300</xdr:rowOff>
    </xdr:to>
    <xdr:pic>
      <xdr:nvPicPr>
        <xdr:cNvPr id="1025" name="Picture 1"/>
        <xdr:cNvPicPr>
          <a:picLocks noChangeAspect="1" noChangeArrowheads="1"/>
        </xdr:cNvPicPr>
      </xdr:nvPicPr>
      <xdr:blipFill>
        <a:blip xmlns:r="http://schemas.openxmlformats.org/officeDocument/2006/relationships" r:embed="rId1"/>
        <a:srcRect/>
        <a:stretch>
          <a:fillRect/>
        </a:stretch>
      </xdr:blipFill>
      <xdr:spPr bwMode="auto">
        <a:xfrm>
          <a:off x="6248400" y="47625"/>
          <a:ext cx="6210300" cy="4886325"/>
        </a:xfrm>
        <a:prstGeom prst="rect">
          <a:avLst/>
        </a:prstGeom>
        <a:noFill/>
        <a:ln w="1">
          <a:noFill/>
          <a:miter lim="800000"/>
          <a:headEnd/>
          <a:tailEnd type="none" w="med" len="med"/>
        </a:ln>
        <a:effec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114300</xdr:colOff>
      <xdr:row>2</xdr:row>
      <xdr:rowOff>0</xdr:rowOff>
    </xdr:from>
    <xdr:to>
      <xdr:col>5</xdr:col>
      <xdr:colOff>600075</xdr:colOff>
      <xdr:row>34</xdr:row>
      <xdr:rowOff>123825</xdr:rowOff>
    </xdr:to>
    <xdr:pic>
      <xdr:nvPicPr>
        <xdr:cNvPr id="2049" name="Picture 1"/>
        <xdr:cNvPicPr>
          <a:picLocks noChangeAspect="1" noChangeArrowheads="1"/>
        </xdr:cNvPicPr>
      </xdr:nvPicPr>
      <xdr:blipFill>
        <a:blip xmlns:r="http://schemas.openxmlformats.org/officeDocument/2006/relationships" r:embed="rId1"/>
        <a:srcRect/>
        <a:stretch>
          <a:fillRect/>
        </a:stretch>
      </xdr:blipFill>
      <xdr:spPr bwMode="auto">
        <a:xfrm>
          <a:off x="114300" y="190500"/>
          <a:ext cx="5200650" cy="6219825"/>
        </a:xfrm>
        <a:prstGeom prst="rect">
          <a:avLst/>
        </a:prstGeom>
        <a:noFill/>
        <a:ln w="1">
          <a:noFill/>
          <a:miter lim="800000"/>
          <a:headEnd/>
          <a:tailEnd type="none" w="med" len="med"/>
        </a:ln>
        <a:effec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142875</xdr:colOff>
      <xdr:row>2</xdr:row>
      <xdr:rowOff>533400</xdr:rowOff>
    </xdr:from>
    <xdr:to>
      <xdr:col>18</xdr:col>
      <xdr:colOff>600075</xdr:colOff>
      <xdr:row>2</xdr:row>
      <xdr:rowOff>3619500</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6619875" y="533400"/>
          <a:ext cx="9048750" cy="3086100"/>
        </a:xfrm>
        <a:prstGeom prst="rect">
          <a:avLst/>
        </a:prstGeom>
        <a:noFill/>
        <a:ln w="1">
          <a:noFill/>
          <a:miter lim="800000"/>
          <a:headEnd/>
          <a:tailEnd type="none" w="med" len="med"/>
        </a:ln>
        <a:effectLst/>
      </xdr:spPr>
    </xdr:pic>
    <xdr:clientData/>
  </xdr:twoCellAnchor>
  <xdr:twoCellAnchor editAs="oneCell">
    <xdr:from>
      <xdr:col>0</xdr:col>
      <xdr:colOff>0</xdr:colOff>
      <xdr:row>2</xdr:row>
      <xdr:rowOff>0</xdr:rowOff>
    </xdr:from>
    <xdr:to>
      <xdr:col>4</xdr:col>
      <xdr:colOff>933450</xdr:colOff>
      <xdr:row>2</xdr:row>
      <xdr:rowOff>3905250</xdr:rowOff>
    </xdr:to>
    <xdr:pic>
      <xdr:nvPicPr>
        <xdr:cNvPr id="3" name="Picture 2"/>
        <xdr:cNvPicPr>
          <a:picLocks noChangeAspect="1" noChangeArrowheads="1"/>
        </xdr:cNvPicPr>
      </xdr:nvPicPr>
      <xdr:blipFill>
        <a:blip xmlns:r="http://schemas.openxmlformats.org/officeDocument/2006/relationships" r:embed="rId2"/>
        <a:srcRect/>
        <a:stretch>
          <a:fillRect/>
        </a:stretch>
      </xdr:blipFill>
      <xdr:spPr bwMode="auto">
        <a:xfrm>
          <a:off x="0" y="0"/>
          <a:ext cx="6581775" cy="3905250"/>
        </a:xfrm>
        <a:prstGeom prst="rect">
          <a:avLst/>
        </a:prstGeom>
        <a:noFill/>
        <a:ln w="1">
          <a:noFill/>
          <a:miter lim="800000"/>
          <a:headEnd/>
          <a:tailEnd type="none" w="med" len="med"/>
        </a:ln>
        <a:effec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9</xdr:col>
      <xdr:colOff>1000125</xdr:colOff>
      <xdr:row>32</xdr:row>
      <xdr:rowOff>161925</xdr:rowOff>
    </xdr:to>
    <xdr:pic>
      <xdr:nvPicPr>
        <xdr:cNvPr id="5121" name="Picture 1"/>
        <xdr:cNvPicPr>
          <a:picLocks noChangeAspect="1" noChangeArrowheads="1"/>
        </xdr:cNvPicPr>
      </xdr:nvPicPr>
      <xdr:blipFill>
        <a:blip xmlns:r="http://schemas.openxmlformats.org/officeDocument/2006/relationships" r:embed="rId1"/>
        <a:srcRect/>
        <a:stretch>
          <a:fillRect/>
        </a:stretch>
      </xdr:blipFill>
      <xdr:spPr bwMode="auto">
        <a:xfrm>
          <a:off x="0" y="0"/>
          <a:ext cx="7743825" cy="5876925"/>
        </a:xfrm>
        <a:prstGeom prst="rect">
          <a:avLst/>
        </a:prstGeom>
        <a:noFill/>
        <a:ln w="1">
          <a:noFill/>
          <a:miter lim="800000"/>
          <a:headEnd/>
          <a:tailEnd type="none" w="med" len="med"/>
        </a:ln>
        <a:effectLst/>
      </xdr:spPr>
    </xdr:pic>
    <xdr:clientData/>
  </xdr:twoCellAnchor>
  <xdr:twoCellAnchor editAs="oneCell">
    <xdr:from>
      <xdr:col>24</xdr:col>
      <xdr:colOff>409575</xdr:colOff>
      <xdr:row>2</xdr:row>
      <xdr:rowOff>76200</xdr:rowOff>
    </xdr:from>
    <xdr:to>
      <xdr:col>35</xdr:col>
      <xdr:colOff>200025</xdr:colOff>
      <xdr:row>13</xdr:row>
      <xdr:rowOff>180975</xdr:rowOff>
    </xdr:to>
    <xdr:pic>
      <xdr:nvPicPr>
        <xdr:cNvPr id="5122" name="Picture 2"/>
        <xdr:cNvPicPr>
          <a:picLocks noChangeAspect="1" noChangeArrowheads="1"/>
        </xdr:cNvPicPr>
      </xdr:nvPicPr>
      <xdr:blipFill>
        <a:blip xmlns:r="http://schemas.openxmlformats.org/officeDocument/2006/relationships" r:embed="rId2"/>
        <a:srcRect/>
        <a:stretch>
          <a:fillRect/>
        </a:stretch>
      </xdr:blipFill>
      <xdr:spPr bwMode="auto">
        <a:xfrm>
          <a:off x="16259175" y="76200"/>
          <a:ext cx="6496050" cy="2200275"/>
        </a:xfrm>
        <a:prstGeom prst="rect">
          <a:avLst/>
        </a:prstGeom>
        <a:noFill/>
        <a:ln w="1">
          <a:noFill/>
          <a:miter lim="800000"/>
          <a:headEnd/>
          <a:tailEnd type="none" w="med" len="med"/>
        </a:ln>
        <a:effectLst/>
      </xdr:spPr>
    </xdr:pic>
    <xdr:clientData/>
  </xdr:twoCellAnchor>
  <xdr:twoCellAnchor editAs="oneCell">
    <xdr:from>
      <xdr:col>10</xdr:col>
      <xdr:colOff>438150</xdr:colOff>
      <xdr:row>2</xdr:row>
      <xdr:rowOff>19050</xdr:rowOff>
    </xdr:from>
    <xdr:to>
      <xdr:col>22</xdr:col>
      <xdr:colOff>168275</xdr:colOff>
      <xdr:row>29</xdr:row>
      <xdr:rowOff>123825</xdr:rowOff>
    </xdr:to>
    <xdr:pic>
      <xdr:nvPicPr>
        <xdr:cNvPr id="1025" name="Picture 1"/>
        <xdr:cNvPicPr>
          <a:picLocks noChangeAspect="1" noChangeArrowheads="1"/>
        </xdr:cNvPicPr>
      </xdr:nvPicPr>
      <xdr:blipFill>
        <a:blip xmlns:r="http://schemas.openxmlformats.org/officeDocument/2006/relationships" r:embed="rId3"/>
        <a:srcRect/>
        <a:stretch>
          <a:fillRect/>
        </a:stretch>
      </xdr:blipFill>
      <xdr:spPr bwMode="auto">
        <a:xfrm>
          <a:off x="7753350" y="19050"/>
          <a:ext cx="8486775" cy="5248275"/>
        </a:xfrm>
        <a:prstGeom prst="rect">
          <a:avLst/>
        </a:prstGeom>
        <a:noFill/>
        <a:ln w="1">
          <a:noFill/>
          <a:miter lim="800000"/>
          <a:headEnd/>
          <a:tailEnd type="none" w="med" len="med"/>
        </a:ln>
        <a:effec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161924</xdr:colOff>
      <xdr:row>8</xdr:row>
      <xdr:rowOff>85725</xdr:rowOff>
    </xdr:from>
    <xdr:to>
      <xdr:col>14</xdr:col>
      <xdr:colOff>323849</xdr:colOff>
      <xdr:row>22</xdr:row>
      <xdr:rowOff>161925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104775</xdr:colOff>
      <xdr:row>29</xdr:row>
      <xdr:rowOff>171450</xdr:rowOff>
    </xdr:to>
    <xdr:pic>
      <xdr:nvPicPr>
        <xdr:cNvPr id="2049" name="Picture 1"/>
        <xdr:cNvPicPr>
          <a:picLocks noChangeAspect="1" noChangeArrowheads="1"/>
        </xdr:cNvPicPr>
      </xdr:nvPicPr>
      <xdr:blipFill>
        <a:blip xmlns:r="http://schemas.openxmlformats.org/officeDocument/2006/relationships" r:embed="rId1"/>
        <a:srcRect/>
        <a:stretch>
          <a:fillRect/>
        </a:stretch>
      </xdr:blipFill>
      <xdr:spPr bwMode="auto">
        <a:xfrm>
          <a:off x="0" y="0"/>
          <a:ext cx="9248775" cy="5505450"/>
        </a:xfrm>
        <a:prstGeom prst="rect">
          <a:avLst/>
        </a:prstGeom>
        <a:noFill/>
        <a:ln w="1">
          <a:noFill/>
          <a:miter lim="800000"/>
          <a:headEnd/>
          <a:tailEnd type="none" w="med" len="med"/>
        </a:ln>
        <a:effectLst/>
      </xdr:spPr>
    </xdr:pic>
    <xdr:clientData/>
  </xdr:twoCellAnchor>
  <xdr:twoCellAnchor editAs="oneCell">
    <xdr:from>
      <xdr:col>0</xdr:col>
      <xdr:colOff>19050</xdr:colOff>
      <xdr:row>29</xdr:row>
      <xdr:rowOff>135591</xdr:rowOff>
    </xdr:from>
    <xdr:to>
      <xdr:col>15</xdr:col>
      <xdr:colOff>95250</xdr:colOff>
      <xdr:row>50</xdr:row>
      <xdr:rowOff>68916</xdr:rowOff>
    </xdr:to>
    <xdr:pic>
      <xdr:nvPicPr>
        <xdr:cNvPr id="2050" name="Picture 2"/>
        <xdr:cNvPicPr>
          <a:picLocks noChangeAspect="1" noChangeArrowheads="1"/>
        </xdr:cNvPicPr>
      </xdr:nvPicPr>
      <xdr:blipFill>
        <a:blip xmlns:r="http://schemas.openxmlformats.org/officeDocument/2006/relationships" r:embed="rId2"/>
        <a:srcRect/>
        <a:stretch>
          <a:fillRect/>
        </a:stretch>
      </xdr:blipFill>
      <xdr:spPr bwMode="auto">
        <a:xfrm>
          <a:off x="19050" y="5469591"/>
          <a:ext cx="9237009" cy="5362575"/>
        </a:xfrm>
        <a:prstGeom prst="rect">
          <a:avLst/>
        </a:prstGeom>
        <a:noFill/>
        <a:ln w="1">
          <a:noFill/>
          <a:miter lim="800000"/>
          <a:headEnd/>
          <a:tailEnd type="none" w="med" len="med"/>
        </a:ln>
        <a:effec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228599</xdr:colOff>
      <xdr:row>59</xdr:row>
      <xdr:rowOff>171450</xdr:rowOff>
    </xdr:from>
    <xdr:to>
      <xdr:col>14</xdr:col>
      <xdr:colOff>504824</xdr:colOff>
      <xdr:row>80</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7</xdr:row>
      <xdr:rowOff>123825</xdr:rowOff>
    </xdr:from>
    <xdr:to>
      <xdr:col>14</xdr:col>
      <xdr:colOff>19050</xdr:colOff>
      <xdr:row>17</xdr:row>
      <xdr:rowOff>57150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0</xdr:rowOff>
    </xdr:from>
    <xdr:to>
      <xdr:col>0</xdr:col>
      <xdr:colOff>7591425</xdr:colOff>
      <xdr:row>19</xdr:row>
      <xdr:rowOff>161924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123824</xdr:colOff>
      <xdr:row>20</xdr:row>
      <xdr:rowOff>104774</xdr:rowOff>
    </xdr:from>
    <xdr:to>
      <xdr:col>0</xdr:col>
      <xdr:colOff>7562849</xdr:colOff>
      <xdr:row>38</xdr:row>
      <xdr:rowOff>76199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114299</xdr:colOff>
      <xdr:row>38</xdr:row>
      <xdr:rowOff>171449</xdr:rowOff>
    </xdr:from>
    <xdr:to>
      <xdr:col>0</xdr:col>
      <xdr:colOff>7553324</xdr:colOff>
      <xdr:row>60</xdr:row>
      <xdr:rowOff>123824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28</xdr:col>
      <xdr:colOff>136525</xdr:colOff>
      <xdr:row>1</xdr:row>
      <xdr:rowOff>79375</xdr:rowOff>
    </xdr:from>
    <xdr:to>
      <xdr:col>33</xdr:col>
      <xdr:colOff>301625</xdr:colOff>
      <xdr:row>16</xdr:row>
      <xdr:rowOff>127000</xdr:rowOff>
    </xdr:to>
    <xdr:pic>
      <xdr:nvPicPr>
        <xdr:cNvPr id="1025" name="Picture 1"/>
        <xdr:cNvPicPr>
          <a:picLocks noChangeAspect="1" noChangeArrowheads="1"/>
        </xdr:cNvPicPr>
      </xdr:nvPicPr>
      <xdr:blipFill>
        <a:blip xmlns:r="http://schemas.openxmlformats.org/officeDocument/2006/relationships" r:embed="rId1"/>
        <a:srcRect/>
        <a:stretch>
          <a:fillRect/>
        </a:stretch>
      </xdr:blipFill>
      <xdr:spPr bwMode="auto">
        <a:xfrm>
          <a:off x="17027525" y="79375"/>
          <a:ext cx="3181350" cy="2905125"/>
        </a:xfrm>
        <a:prstGeom prst="rect">
          <a:avLst/>
        </a:prstGeom>
        <a:noFill/>
        <a:ln w="1">
          <a:noFill/>
          <a:miter lim="800000"/>
          <a:headEnd/>
          <a:tailEnd type="none" w="med" len="med"/>
        </a:ln>
        <a:effectLst/>
      </xdr:spPr>
    </xdr:pic>
    <xdr:clientData/>
  </xdr:twoCellAnchor>
  <xdr:twoCellAnchor editAs="oneCell">
    <xdr:from>
      <xdr:col>28</xdr:col>
      <xdr:colOff>130175</xdr:colOff>
      <xdr:row>16</xdr:row>
      <xdr:rowOff>161925</xdr:rowOff>
    </xdr:from>
    <xdr:to>
      <xdr:col>37</xdr:col>
      <xdr:colOff>495300</xdr:colOff>
      <xdr:row>31</xdr:row>
      <xdr:rowOff>66675</xdr:rowOff>
    </xdr:to>
    <xdr:pic>
      <xdr:nvPicPr>
        <xdr:cNvPr id="1026" name="Picture 2"/>
        <xdr:cNvPicPr>
          <a:picLocks noChangeAspect="1" noChangeArrowheads="1"/>
        </xdr:cNvPicPr>
      </xdr:nvPicPr>
      <xdr:blipFill>
        <a:blip xmlns:r="http://schemas.openxmlformats.org/officeDocument/2006/relationships" r:embed="rId2"/>
        <a:srcRect/>
        <a:stretch>
          <a:fillRect/>
        </a:stretch>
      </xdr:blipFill>
      <xdr:spPr bwMode="auto">
        <a:xfrm>
          <a:off x="17021175" y="3019425"/>
          <a:ext cx="5794375" cy="2762250"/>
        </a:xfrm>
        <a:prstGeom prst="rect">
          <a:avLst/>
        </a:prstGeom>
        <a:noFill/>
        <a:ln w="1">
          <a:noFill/>
          <a:miter lim="800000"/>
          <a:headEnd/>
          <a:tailEnd type="none" w="med" len="med"/>
        </a:ln>
        <a:effectLst/>
      </xdr:spPr>
    </xdr:pic>
    <xdr:clientData/>
  </xdr:twoCellAnchor>
  <xdr:twoCellAnchor editAs="oneCell">
    <xdr:from>
      <xdr:col>8</xdr:col>
      <xdr:colOff>352425</xdr:colOff>
      <xdr:row>1</xdr:row>
      <xdr:rowOff>127000</xdr:rowOff>
    </xdr:from>
    <xdr:to>
      <xdr:col>20</xdr:col>
      <xdr:colOff>9525</xdr:colOff>
      <xdr:row>28</xdr:row>
      <xdr:rowOff>155575</xdr:rowOff>
    </xdr:to>
    <xdr:pic>
      <xdr:nvPicPr>
        <xdr:cNvPr id="1027" name="Picture 3"/>
        <xdr:cNvPicPr>
          <a:picLocks noChangeAspect="1" noChangeArrowheads="1"/>
        </xdr:cNvPicPr>
      </xdr:nvPicPr>
      <xdr:blipFill>
        <a:blip xmlns:r="http://schemas.openxmlformats.org/officeDocument/2006/relationships" r:embed="rId3"/>
        <a:srcRect/>
        <a:stretch>
          <a:fillRect/>
        </a:stretch>
      </xdr:blipFill>
      <xdr:spPr bwMode="auto">
        <a:xfrm>
          <a:off x="5178425" y="127000"/>
          <a:ext cx="6896100" cy="5172075"/>
        </a:xfrm>
        <a:prstGeom prst="rect">
          <a:avLst/>
        </a:prstGeom>
        <a:noFill/>
        <a:ln w="1">
          <a:noFill/>
          <a:miter lim="800000"/>
          <a:headEnd/>
          <a:tailEnd type="none" w="med" len="med"/>
        </a:ln>
        <a:effectLst/>
      </xdr:spPr>
    </xdr:pic>
    <xdr:clientData/>
  </xdr:twoCellAnchor>
  <xdr:twoCellAnchor editAs="oneCell">
    <xdr:from>
      <xdr:col>20</xdr:col>
      <xdr:colOff>66675</xdr:colOff>
      <xdr:row>1</xdr:row>
      <xdr:rowOff>95250</xdr:rowOff>
    </xdr:from>
    <xdr:to>
      <xdr:col>28</xdr:col>
      <xdr:colOff>95250</xdr:colOff>
      <xdr:row>31</xdr:row>
      <xdr:rowOff>171450</xdr:rowOff>
    </xdr:to>
    <xdr:pic>
      <xdr:nvPicPr>
        <xdr:cNvPr id="1028" name="Picture 4"/>
        <xdr:cNvPicPr>
          <a:picLocks noChangeAspect="1" noChangeArrowheads="1"/>
        </xdr:cNvPicPr>
      </xdr:nvPicPr>
      <xdr:blipFill>
        <a:blip xmlns:r="http://schemas.openxmlformats.org/officeDocument/2006/relationships" r:embed="rId4"/>
        <a:srcRect/>
        <a:stretch>
          <a:fillRect/>
        </a:stretch>
      </xdr:blipFill>
      <xdr:spPr bwMode="auto">
        <a:xfrm>
          <a:off x="12131675" y="95250"/>
          <a:ext cx="4854575" cy="5791200"/>
        </a:xfrm>
        <a:prstGeom prst="rect">
          <a:avLst/>
        </a:prstGeom>
        <a:noFill/>
        <a:ln w="1">
          <a:noFill/>
          <a:miter lim="800000"/>
          <a:headEnd/>
          <a:tailEnd type="none" w="med" len="med"/>
        </a:ln>
        <a:effectLst/>
      </xdr:spPr>
    </xdr:pic>
    <xdr:clientData/>
  </xdr:twoCellAnchor>
  <xdr:twoCellAnchor editAs="oneCell">
    <xdr:from>
      <xdr:col>0</xdr:col>
      <xdr:colOff>142876</xdr:colOff>
      <xdr:row>1</xdr:row>
      <xdr:rowOff>76200</xdr:rowOff>
    </xdr:from>
    <xdr:to>
      <xdr:col>7</xdr:col>
      <xdr:colOff>285751</xdr:colOff>
      <xdr:row>20</xdr:row>
      <xdr:rowOff>99060</xdr:rowOff>
    </xdr:to>
    <xdr:pic>
      <xdr:nvPicPr>
        <xdr:cNvPr id="1030" name="Picture 6"/>
        <xdr:cNvPicPr>
          <a:picLocks noChangeAspect="1" noChangeArrowheads="1"/>
        </xdr:cNvPicPr>
      </xdr:nvPicPr>
      <xdr:blipFill>
        <a:blip xmlns:r="http://schemas.openxmlformats.org/officeDocument/2006/relationships" r:embed="rId5"/>
        <a:srcRect/>
        <a:stretch>
          <a:fillRect/>
        </a:stretch>
      </xdr:blipFill>
      <xdr:spPr bwMode="auto">
        <a:xfrm>
          <a:off x="142876" y="76200"/>
          <a:ext cx="4552950" cy="3642360"/>
        </a:xfrm>
        <a:prstGeom prst="rect">
          <a:avLst/>
        </a:prstGeom>
        <a:noFill/>
        <a:ln w="1">
          <a:noFill/>
          <a:miter lim="800000"/>
          <a:headEnd/>
          <a:tailEnd type="none" w="med" len="med"/>
        </a:ln>
        <a:effec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2</xdr:row>
      <xdr:rowOff>19050</xdr:rowOff>
    </xdr:from>
    <xdr:to>
      <xdr:col>10</xdr:col>
      <xdr:colOff>428625</xdr:colOff>
      <xdr:row>33</xdr:row>
      <xdr:rowOff>180975</xdr:rowOff>
    </xdr:to>
    <xdr:pic>
      <xdr:nvPicPr>
        <xdr:cNvPr id="5121" name="Picture 1"/>
        <xdr:cNvPicPr>
          <a:picLocks noChangeAspect="1" noChangeArrowheads="1"/>
        </xdr:cNvPicPr>
      </xdr:nvPicPr>
      <xdr:blipFill>
        <a:blip xmlns:r="http://schemas.openxmlformats.org/officeDocument/2006/relationships" r:embed="rId1"/>
        <a:srcRect/>
        <a:stretch>
          <a:fillRect/>
        </a:stretch>
      </xdr:blipFill>
      <xdr:spPr bwMode="auto">
        <a:xfrm>
          <a:off x="0" y="19050"/>
          <a:ext cx="6524625" cy="6067425"/>
        </a:xfrm>
        <a:prstGeom prst="rect">
          <a:avLst/>
        </a:prstGeom>
        <a:noFill/>
        <a:ln w="1">
          <a:noFill/>
          <a:miter lim="800000"/>
          <a:headEnd/>
          <a:tailEnd type="none" w="med" len="med"/>
        </a:ln>
        <a:effectLst/>
      </xdr:spPr>
    </xdr:pic>
    <xdr:clientData/>
  </xdr:twoCellAnchor>
  <xdr:twoCellAnchor editAs="oneCell">
    <xdr:from>
      <xdr:col>10</xdr:col>
      <xdr:colOff>428625</xdr:colOff>
      <xdr:row>2</xdr:row>
      <xdr:rowOff>19050</xdr:rowOff>
    </xdr:from>
    <xdr:to>
      <xdr:col>22</xdr:col>
      <xdr:colOff>161925</xdr:colOff>
      <xdr:row>16</xdr:row>
      <xdr:rowOff>114300</xdr:rowOff>
    </xdr:to>
    <xdr:pic>
      <xdr:nvPicPr>
        <xdr:cNvPr id="5122" name="Picture 2"/>
        <xdr:cNvPicPr>
          <a:picLocks noChangeAspect="1" noChangeArrowheads="1"/>
        </xdr:cNvPicPr>
      </xdr:nvPicPr>
      <xdr:blipFill>
        <a:blip xmlns:r="http://schemas.openxmlformats.org/officeDocument/2006/relationships" r:embed="rId2"/>
        <a:srcRect/>
        <a:stretch>
          <a:fillRect/>
        </a:stretch>
      </xdr:blipFill>
      <xdr:spPr bwMode="auto">
        <a:xfrm>
          <a:off x="6524625" y="19050"/>
          <a:ext cx="7048500" cy="2762250"/>
        </a:xfrm>
        <a:prstGeom prst="rect">
          <a:avLst/>
        </a:prstGeom>
        <a:noFill/>
        <a:ln w="1">
          <a:noFill/>
          <a:miter lim="800000"/>
          <a:headEnd/>
          <a:tailEnd type="none" w="med" len="med"/>
        </a:ln>
        <a:effectLst/>
      </xdr:spPr>
    </xdr:pic>
    <xdr:clientData/>
  </xdr:twoCellAnchor>
  <xdr:twoCellAnchor editAs="oneCell">
    <xdr:from>
      <xdr:col>10</xdr:col>
      <xdr:colOff>447675</xdr:colOff>
      <xdr:row>16</xdr:row>
      <xdr:rowOff>142875</xdr:rowOff>
    </xdr:from>
    <xdr:to>
      <xdr:col>22</xdr:col>
      <xdr:colOff>180975</xdr:colOff>
      <xdr:row>36</xdr:row>
      <xdr:rowOff>0</xdr:rowOff>
    </xdr:to>
    <xdr:pic>
      <xdr:nvPicPr>
        <xdr:cNvPr id="5123" name="Picture 3"/>
        <xdr:cNvPicPr>
          <a:picLocks noChangeAspect="1" noChangeArrowheads="1"/>
        </xdr:cNvPicPr>
      </xdr:nvPicPr>
      <xdr:blipFill>
        <a:blip xmlns:r="http://schemas.openxmlformats.org/officeDocument/2006/relationships" r:embed="rId3"/>
        <a:srcRect/>
        <a:stretch>
          <a:fillRect/>
        </a:stretch>
      </xdr:blipFill>
      <xdr:spPr bwMode="auto">
        <a:xfrm>
          <a:off x="6543675" y="2809875"/>
          <a:ext cx="7048500" cy="3667125"/>
        </a:xfrm>
        <a:prstGeom prst="rect">
          <a:avLst/>
        </a:prstGeom>
        <a:noFill/>
        <a:ln w="1">
          <a:noFill/>
          <a:miter lim="800000"/>
          <a:headEnd/>
          <a:tailEnd type="none" w="med" len="med"/>
        </a:ln>
        <a:effectLst/>
      </xdr:spPr>
    </xdr:pic>
    <xdr:clientData/>
  </xdr:twoCellAnchor>
  <xdr:twoCellAnchor editAs="oneCell">
    <xdr:from>
      <xdr:col>22</xdr:col>
      <xdr:colOff>161925</xdr:colOff>
      <xdr:row>2</xdr:row>
      <xdr:rowOff>19050</xdr:rowOff>
    </xdr:from>
    <xdr:to>
      <xdr:col>33</xdr:col>
      <xdr:colOff>0</xdr:colOff>
      <xdr:row>22</xdr:row>
      <xdr:rowOff>133350</xdr:rowOff>
    </xdr:to>
    <xdr:pic>
      <xdr:nvPicPr>
        <xdr:cNvPr id="5124" name="Picture 4"/>
        <xdr:cNvPicPr>
          <a:picLocks noChangeAspect="1" noChangeArrowheads="1"/>
        </xdr:cNvPicPr>
      </xdr:nvPicPr>
      <xdr:blipFill>
        <a:blip xmlns:r="http://schemas.openxmlformats.org/officeDocument/2006/relationships" r:embed="rId4"/>
        <a:srcRect/>
        <a:stretch>
          <a:fillRect/>
        </a:stretch>
      </xdr:blipFill>
      <xdr:spPr bwMode="auto">
        <a:xfrm>
          <a:off x="13573125" y="19050"/>
          <a:ext cx="6543675" cy="392430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28575</xdr:colOff>
      <xdr:row>4</xdr:row>
      <xdr:rowOff>133349</xdr:rowOff>
    </xdr:from>
    <xdr:to>
      <xdr:col>29</xdr:col>
      <xdr:colOff>85725</xdr:colOff>
      <xdr:row>24</xdr:row>
      <xdr:rowOff>114299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25</xdr:row>
      <xdr:rowOff>38099</xdr:rowOff>
    </xdr:from>
    <xdr:to>
      <xdr:col>26</xdr:col>
      <xdr:colOff>523874</xdr:colOff>
      <xdr:row>52</xdr:row>
      <xdr:rowOff>171449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590550</xdr:colOff>
      <xdr:row>59</xdr:row>
      <xdr:rowOff>285750</xdr:rowOff>
    </xdr:from>
    <xdr:to>
      <xdr:col>8</xdr:col>
      <xdr:colOff>657225</xdr:colOff>
      <xdr:row>72</xdr:row>
      <xdr:rowOff>171450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219075</xdr:colOff>
      <xdr:row>59</xdr:row>
      <xdr:rowOff>276225</xdr:rowOff>
    </xdr:from>
    <xdr:to>
      <xdr:col>13</xdr:col>
      <xdr:colOff>590550</xdr:colOff>
      <xdr:row>72</xdr:row>
      <xdr:rowOff>161925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190500</xdr:colOff>
      <xdr:row>73</xdr:row>
      <xdr:rowOff>114300</xdr:rowOff>
    </xdr:from>
    <xdr:to>
      <xdr:col>13</xdr:col>
      <xdr:colOff>561975</xdr:colOff>
      <xdr:row>88</xdr:row>
      <xdr:rowOff>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428624</xdr:colOff>
      <xdr:row>73</xdr:row>
      <xdr:rowOff>123825</xdr:rowOff>
    </xdr:from>
    <xdr:to>
      <xdr:col>9</xdr:col>
      <xdr:colOff>57150</xdr:colOff>
      <xdr:row>88</xdr:row>
      <xdr:rowOff>9525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190500</xdr:colOff>
      <xdr:row>4</xdr:row>
      <xdr:rowOff>114299</xdr:rowOff>
    </xdr:from>
    <xdr:to>
      <xdr:col>28</xdr:col>
      <xdr:colOff>542925</xdr:colOff>
      <xdr:row>24</xdr:row>
      <xdr:rowOff>95249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180974</xdr:colOff>
      <xdr:row>25</xdr:row>
      <xdr:rowOff>57149</xdr:rowOff>
    </xdr:from>
    <xdr:to>
      <xdr:col>28</xdr:col>
      <xdr:colOff>581024</xdr:colOff>
      <xdr:row>62</xdr:row>
      <xdr:rowOff>190499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161926</xdr:colOff>
      <xdr:row>61</xdr:row>
      <xdr:rowOff>9525</xdr:rowOff>
    </xdr:from>
    <xdr:to>
      <xdr:col>9</xdr:col>
      <xdr:colOff>390526</xdr:colOff>
      <xdr:row>74</xdr:row>
      <xdr:rowOff>85725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790576</xdr:colOff>
      <xdr:row>61</xdr:row>
      <xdr:rowOff>0</xdr:rowOff>
    </xdr:from>
    <xdr:to>
      <xdr:col>14</xdr:col>
      <xdr:colOff>114301</xdr:colOff>
      <xdr:row>74</xdr:row>
      <xdr:rowOff>76200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762001</xdr:colOff>
      <xdr:row>75</xdr:row>
      <xdr:rowOff>28575</xdr:rowOff>
    </xdr:from>
    <xdr:to>
      <xdr:col>14</xdr:col>
      <xdr:colOff>85726</xdr:colOff>
      <xdr:row>89</xdr:row>
      <xdr:rowOff>104775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75</xdr:row>
      <xdr:rowOff>38100</xdr:rowOff>
    </xdr:from>
    <xdr:to>
      <xdr:col>9</xdr:col>
      <xdr:colOff>628651</xdr:colOff>
      <xdr:row>89</xdr:row>
      <xdr:rowOff>114300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16</xdr:col>
      <xdr:colOff>114300</xdr:colOff>
      <xdr:row>4</xdr:row>
      <xdr:rowOff>85724</xdr:rowOff>
    </xdr:from>
    <xdr:to>
      <xdr:col>28</xdr:col>
      <xdr:colOff>466725</xdr:colOff>
      <xdr:row>24</xdr:row>
      <xdr:rowOff>66674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114299</xdr:colOff>
      <xdr:row>25</xdr:row>
      <xdr:rowOff>57149</xdr:rowOff>
    </xdr:from>
    <xdr:to>
      <xdr:col>28</xdr:col>
      <xdr:colOff>514349</xdr:colOff>
      <xdr:row>62</xdr:row>
      <xdr:rowOff>190499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16</xdr:col>
      <xdr:colOff>133350</xdr:colOff>
      <xdr:row>4</xdr:row>
      <xdr:rowOff>133349</xdr:rowOff>
    </xdr:from>
    <xdr:to>
      <xdr:col>28</xdr:col>
      <xdr:colOff>485775</xdr:colOff>
      <xdr:row>24</xdr:row>
      <xdr:rowOff>114299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133349</xdr:colOff>
      <xdr:row>25</xdr:row>
      <xdr:rowOff>76199</xdr:rowOff>
    </xdr:from>
    <xdr:to>
      <xdr:col>28</xdr:col>
      <xdr:colOff>533399</xdr:colOff>
      <xdr:row>63</xdr:row>
      <xdr:rowOff>19049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16</xdr:col>
      <xdr:colOff>104775</xdr:colOff>
      <xdr:row>4</xdr:row>
      <xdr:rowOff>85724</xdr:rowOff>
    </xdr:from>
    <xdr:to>
      <xdr:col>28</xdr:col>
      <xdr:colOff>457200</xdr:colOff>
      <xdr:row>24</xdr:row>
      <xdr:rowOff>66674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85724</xdr:colOff>
      <xdr:row>25</xdr:row>
      <xdr:rowOff>47624</xdr:rowOff>
    </xdr:from>
    <xdr:to>
      <xdr:col>28</xdr:col>
      <xdr:colOff>485774</xdr:colOff>
      <xdr:row>62</xdr:row>
      <xdr:rowOff>180974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16</xdr:col>
      <xdr:colOff>85725</xdr:colOff>
      <xdr:row>4</xdr:row>
      <xdr:rowOff>142874</xdr:rowOff>
    </xdr:from>
    <xdr:to>
      <xdr:col>28</xdr:col>
      <xdr:colOff>438150</xdr:colOff>
      <xdr:row>26</xdr:row>
      <xdr:rowOff>123824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85724</xdr:colOff>
      <xdr:row>27</xdr:row>
      <xdr:rowOff>47624</xdr:rowOff>
    </xdr:from>
    <xdr:to>
      <xdr:col>28</xdr:col>
      <xdr:colOff>485774</xdr:colOff>
      <xdr:row>64</xdr:row>
      <xdr:rowOff>180974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16</xdr:col>
      <xdr:colOff>85725</xdr:colOff>
      <xdr:row>4</xdr:row>
      <xdr:rowOff>161924</xdr:rowOff>
    </xdr:from>
    <xdr:to>
      <xdr:col>28</xdr:col>
      <xdr:colOff>438150</xdr:colOff>
      <xdr:row>26</xdr:row>
      <xdr:rowOff>142874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104774</xdr:colOff>
      <xdr:row>27</xdr:row>
      <xdr:rowOff>47624</xdr:rowOff>
    </xdr:from>
    <xdr:to>
      <xdr:col>28</xdr:col>
      <xdr:colOff>504824</xdr:colOff>
      <xdr:row>64</xdr:row>
      <xdr:rowOff>180974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1A%20Refuse%20&amp;%20Recycling\Recycling%20Information\2011\Residential%20data%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1A%20Refuse%20&amp;%20Recycling\Recycling%20Information\2011\Town%20Facilities%202011%20UPDA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1A%20Refuse%20&amp;%20Recycling\DEQ%20Report\DEQ%20Report\Recycling%20Reports-Final\2009\Business\Business%2020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cycling rate"/>
      <sheetName val="Total and Summary"/>
      <sheetName val="Curbside"/>
      <sheetName val="Blue Bins vs. Roll-Offs"/>
      <sheetName val="Brush"/>
      <sheetName val="Leaves"/>
      <sheetName val="Leaf Giveaway"/>
      <sheetName val="Christmas Trees "/>
      <sheetName val="YMCA Ewaste"/>
      <sheetName val="sum"/>
      <sheetName val="Town Ops"/>
      <sheetName val="Spring and Fall cleanup"/>
      <sheetName val="St Sweeper"/>
      <sheetName val="Special Pick Ups"/>
      <sheetName val="Special Events"/>
    </sheetNames>
    <sheetDataSet>
      <sheetData sheetId="0" refreshError="1"/>
      <sheetData sheetId="1" refreshError="1">
        <row r="3">
          <cell r="D3">
            <v>576.13</v>
          </cell>
          <cell r="I3">
            <v>4062.77</v>
          </cell>
        </row>
        <row r="4">
          <cell r="D4">
            <v>2.66</v>
          </cell>
        </row>
        <row r="5">
          <cell r="D5">
            <v>0.2</v>
          </cell>
          <cell r="I5">
            <v>16.89</v>
          </cell>
        </row>
        <row r="6">
          <cell r="D6">
            <v>461.1</v>
          </cell>
          <cell r="I6">
            <v>211.89</v>
          </cell>
        </row>
        <row r="7">
          <cell r="D7">
            <v>756.57</v>
          </cell>
        </row>
        <row r="8">
          <cell r="D8">
            <v>1533.6599999999999</v>
          </cell>
        </row>
        <row r="11">
          <cell r="D11">
            <v>1.02</v>
          </cell>
        </row>
        <row r="12">
          <cell r="D12">
            <v>2.0819999999999999</v>
          </cell>
        </row>
        <row r="13">
          <cell r="D13">
            <v>56.168500000000002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8">
          <cell r="B28">
            <v>116.46</v>
          </cell>
        </row>
      </sheetData>
      <sheetData sheetId="13" refreshError="1"/>
      <sheetData sheetId="1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EQ Summary Facilities"/>
      <sheetName val="2011 Recycling"/>
      <sheetName val="Summary"/>
      <sheetName val="Cover Sheet"/>
      <sheetName val="PW Garage Totals"/>
      <sheetName val="PW Tires"/>
      <sheetName val="Public Works"/>
      <sheetName val="PW Trash"/>
      <sheetName val="Blacksburg Transit"/>
      <sheetName val="Other"/>
      <sheetName val="PlantwasteCompost"/>
      <sheetName val="Batteries"/>
      <sheetName val="Safety Storage  Bldg"/>
      <sheetName val="EWaste"/>
      <sheetName val="PW Antifreeze"/>
      <sheetName val="Metals"/>
      <sheetName val="WOP&amp;MAGS"/>
      <sheetName val="Cartridges"/>
      <sheetName val="Recycling Est. Carts and Dumpst"/>
      <sheetName val="Sheet1"/>
    </sheetNames>
    <sheetDataSet>
      <sheetData sheetId="0" refreshError="1">
        <row r="4">
          <cell r="B4">
            <v>0.04</v>
          </cell>
          <cell r="C4">
            <v>0</v>
          </cell>
        </row>
        <row r="5">
          <cell r="B5">
            <v>6.7025000000000006</v>
          </cell>
          <cell r="F5">
            <v>3.98</v>
          </cell>
        </row>
        <row r="8">
          <cell r="B8">
            <v>5.0885999999999996</v>
          </cell>
        </row>
        <row r="12">
          <cell r="B12">
            <v>12.994199999999999</v>
          </cell>
        </row>
        <row r="13">
          <cell r="C13">
            <v>2.615E-2</v>
          </cell>
        </row>
        <row r="17">
          <cell r="B17">
            <v>4.8899999999999997</v>
          </cell>
          <cell r="C17">
            <v>4.0599999999999996</v>
          </cell>
        </row>
        <row r="18">
          <cell r="C18">
            <v>8.8873999999999995</v>
          </cell>
        </row>
        <row r="19">
          <cell r="C19">
            <v>0.13200000000000001</v>
          </cell>
        </row>
        <row r="21">
          <cell r="C21">
            <v>0.23155000000000001</v>
          </cell>
        </row>
        <row r="23">
          <cell r="C23">
            <v>0.20100000000000001</v>
          </cell>
        </row>
        <row r="25">
          <cell r="C25">
            <v>2.0320999999999998</v>
          </cell>
        </row>
        <row r="27">
          <cell r="B27">
            <v>0.23400000000000001</v>
          </cell>
          <cell r="C27">
            <v>0.24604999999999999</v>
          </cell>
        </row>
        <row r="28">
          <cell r="B28">
            <v>2.6804999999999999</v>
          </cell>
        </row>
        <row r="31">
          <cell r="B31">
            <v>2.7E-2</v>
          </cell>
          <cell r="C31">
            <v>9.4649999999999998E-2</v>
          </cell>
        </row>
      </sheetData>
      <sheetData sheetId="1" refreshError="1"/>
      <sheetData sheetId="2" refreshError="1">
        <row r="26">
          <cell r="G26">
            <v>4500</v>
          </cell>
        </row>
      </sheetData>
      <sheetData sheetId="3" refreshError="1"/>
      <sheetData sheetId="4" refreshError="1"/>
      <sheetData sheetId="5" refreshError="1"/>
      <sheetData sheetId="6" refreshError="1"/>
      <sheetData sheetId="7" refreshError="1">
        <row r="30">
          <cell r="B30">
            <v>59.600000000000009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ndustries"/>
      <sheetName val="Other Business"/>
      <sheetName val="Garages"/>
      <sheetName val="Haulers"/>
    </sheetNames>
    <sheetDataSet>
      <sheetData sheetId="0" refreshError="1">
        <row r="22">
          <cell r="F22">
            <v>39.74</v>
          </cell>
          <cell r="G22">
            <v>0.53</v>
          </cell>
          <cell r="H22">
            <v>3.5</v>
          </cell>
        </row>
        <row r="23">
          <cell r="F23">
            <v>1331.83</v>
          </cell>
          <cell r="G23">
            <v>28.83</v>
          </cell>
          <cell r="H23">
            <v>40</v>
          </cell>
          <cell r="K23">
            <v>4.5</v>
          </cell>
          <cell r="P23">
            <v>154.41999999999999</v>
          </cell>
          <cell r="V23">
            <v>4.45</v>
          </cell>
          <cell r="AA23">
            <v>1.75</v>
          </cell>
        </row>
      </sheetData>
      <sheetData sheetId="1" refreshError="1"/>
      <sheetData sheetId="2" refreshError="1">
        <row r="16">
          <cell r="D16">
            <v>1.85</v>
          </cell>
          <cell r="G16">
            <v>0.37</v>
          </cell>
        </row>
      </sheetData>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3" Type="http://schemas.openxmlformats.org/officeDocument/2006/relationships/hyperlink" Target="http://dfw1whpi.atmosenergy.com:7777/pls/blueprint/blueprint.html_servicetype50" TargetMode="External"/><Relationship Id="rId2" Type="http://schemas.openxmlformats.org/officeDocument/2006/relationships/hyperlink" Target="http://dfw1whpi.atmosenergy.com:7777/pls/blueprint/blueprint.html_servicetype50" TargetMode="External"/><Relationship Id="rId1" Type="http://schemas.openxmlformats.org/officeDocument/2006/relationships/hyperlink" Target="http://dfw1whpi.atmosenergy.com:7777/pls/blueprint/blueprint.show_customer?BU=50&amp;Customer=4764858" TargetMode="External"/><Relationship Id="rId5" Type="http://schemas.openxmlformats.org/officeDocument/2006/relationships/hyperlink" Target="http://dfw1whpi.atmosenergy.com:7777/pls/blueprint/blueprint.html_class" TargetMode="External"/><Relationship Id="rId4" Type="http://schemas.openxmlformats.org/officeDocument/2006/relationships/hyperlink" Target="http://dfw1whpi.atmosenergy.com:7777/pls/blueprint/blueprint.html_class"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www.eia.gov/naturalgas/" TargetMode="External"/><Relationship Id="rId1" Type="http://schemas.openxmlformats.org/officeDocument/2006/relationships/hyperlink" Target="http://www.eia.gov/totalenergy/data/monthly/"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www.eia.gov/totalenergy/data/annual/pdf/aer.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hyperlink" Target="http://www.eia.gov/"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6.xml.rels><?xml version="1.0" encoding="UTF-8" standalone="yes"?>
<Relationships xmlns="http://schemas.openxmlformats.org/package/2006/relationships"><Relationship Id="rId1" Type="http://schemas.openxmlformats.org/officeDocument/2006/relationships/hyperlink" Target="http://www.virginiadot.org/info/ct-TrafficCounts.asp" TargetMode="Externa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www.afdc.energy.gov/fuels/fuel_comparison_chart.pdf" TargetMode="Externa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dimension ref="B1:M67"/>
  <sheetViews>
    <sheetView workbookViewId="0">
      <selection activeCell="I67" sqref="I67"/>
    </sheetView>
  </sheetViews>
  <sheetFormatPr defaultRowHeight="15"/>
  <cols>
    <col min="1" max="1" width="128.42578125" customWidth="1"/>
    <col min="2" max="2" width="25.140625" customWidth="1"/>
    <col min="3" max="3" width="26.140625" bestFit="1" customWidth="1"/>
    <col min="4" max="4" width="17.28515625" bestFit="1" customWidth="1"/>
    <col min="5" max="11" width="14.140625" bestFit="1" customWidth="1"/>
  </cols>
  <sheetData>
    <row r="1" spans="2:13">
      <c r="B1" s="312" t="s">
        <v>968</v>
      </c>
      <c r="C1" s="33"/>
      <c r="D1" s="33"/>
      <c r="E1" s="33"/>
      <c r="F1" s="33"/>
      <c r="G1" s="33"/>
      <c r="H1" s="33"/>
      <c r="I1" s="33"/>
    </row>
    <row r="2" spans="2:13">
      <c r="B2" s="312"/>
      <c r="C2" s="33"/>
      <c r="D2" s="33"/>
      <c r="E2" s="33"/>
      <c r="F2" s="33"/>
      <c r="G2" s="33"/>
      <c r="H2" s="33"/>
      <c r="I2" s="33"/>
    </row>
    <row r="3" spans="2:13">
      <c r="B3" s="2" t="s">
        <v>693</v>
      </c>
      <c r="C3" s="33"/>
      <c r="D3" s="33"/>
    </row>
    <row r="4" spans="2:13">
      <c r="B4" s="2"/>
      <c r="C4" s="33"/>
      <c r="D4" s="33"/>
    </row>
    <row r="5" spans="2:13">
      <c r="B5" s="520" t="s">
        <v>58</v>
      </c>
      <c r="C5" s="521" t="s">
        <v>1</v>
      </c>
      <c r="D5" s="522" t="s">
        <v>54</v>
      </c>
      <c r="E5" s="56">
        <v>2006</v>
      </c>
      <c r="F5" s="57">
        <v>2007</v>
      </c>
      <c r="G5" s="57">
        <v>2008</v>
      </c>
      <c r="H5" s="525">
        <v>2009</v>
      </c>
      <c r="I5" s="525">
        <v>2010</v>
      </c>
      <c r="J5" s="525">
        <v>2011</v>
      </c>
      <c r="K5" s="526">
        <v>2012</v>
      </c>
    </row>
    <row r="6" spans="2:13">
      <c r="B6" s="252" t="s">
        <v>59</v>
      </c>
      <c r="C6" s="256" t="s">
        <v>773</v>
      </c>
      <c r="D6" s="307" t="s">
        <v>55</v>
      </c>
      <c r="E6" s="240">
        <f>'2006 Inventory'!$O6</f>
        <v>15467854.170161385</v>
      </c>
      <c r="F6" s="530">
        <f>'2007 Inventory'!$O6</f>
        <v>16184631.06150615</v>
      </c>
      <c r="G6" s="530">
        <f>'2008 Inventory'!$O6</f>
        <v>17179457.55487632</v>
      </c>
      <c r="H6" s="530">
        <f>'2009 Inventory'!$O6</f>
        <v>17029959.725115713</v>
      </c>
      <c r="I6" s="530">
        <f>'2010 Inventory'!$O6</f>
        <v>17914318.374691632</v>
      </c>
      <c r="J6" s="530">
        <f>'2011 Inventory'!$O6</f>
        <v>15718454.777999474</v>
      </c>
      <c r="K6" s="531">
        <f>'2012 Inventory'!$O6</f>
        <v>14370648.67817241</v>
      </c>
    </row>
    <row r="7" spans="2:13">
      <c r="B7" s="252" t="s">
        <v>59</v>
      </c>
      <c r="C7" s="256" t="s">
        <v>773</v>
      </c>
      <c r="D7" s="307" t="s">
        <v>56</v>
      </c>
      <c r="E7" s="64">
        <f>'2006 Inventory'!$O7</f>
        <v>10027645.183806432</v>
      </c>
      <c r="F7" s="519">
        <f>'2007 Inventory'!$O7</f>
        <v>10325930.322041687</v>
      </c>
      <c r="G7" s="519">
        <f>'2008 Inventory'!$O7</f>
        <v>11070251.775608104</v>
      </c>
      <c r="H7" s="519">
        <f>'2009 Inventory'!$O7</f>
        <v>11113314.437604262</v>
      </c>
      <c r="I7" s="519">
        <f>'2010 Inventory'!$O7</f>
        <v>11606576.005953576</v>
      </c>
      <c r="J7" s="519">
        <f>'2011 Inventory'!$O7</f>
        <v>10495573.823911492</v>
      </c>
      <c r="K7" s="532">
        <f>'2012 Inventory'!$O7</f>
        <v>9595612.6877282616</v>
      </c>
    </row>
    <row r="8" spans="2:13">
      <c r="B8" s="252" t="s">
        <v>59</v>
      </c>
      <c r="C8" s="256" t="s">
        <v>773</v>
      </c>
      <c r="D8" s="307" t="s">
        <v>57</v>
      </c>
      <c r="E8" s="64">
        <f>'2006 Inventory'!$O8</f>
        <v>12920737.680666659</v>
      </c>
      <c r="F8" s="519">
        <f>'2007 Inventory'!$O8</f>
        <v>14574338.591426881</v>
      </c>
      <c r="G8" s="519">
        <f>'2008 Inventory'!$O8</f>
        <v>13767415.075300412</v>
      </c>
      <c r="H8" s="519">
        <f>'2009 Inventory'!$O8</f>
        <v>11305932.021278515</v>
      </c>
      <c r="I8" s="519">
        <f>'2010 Inventory'!$O8</f>
        <v>14546928.615025042</v>
      </c>
      <c r="J8" s="519">
        <f>'2011 Inventory'!$O8</f>
        <v>15260088.671683175</v>
      </c>
      <c r="K8" s="532">
        <f>'2012 Inventory'!$O8</f>
        <v>16962736.873745918</v>
      </c>
      <c r="M8">
        <f>K41/I67</f>
        <v>0.20178851560830413</v>
      </c>
    </row>
    <row r="9" spans="2:13">
      <c r="B9" s="253" t="s">
        <v>59</v>
      </c>
      <c r="C9" s="258" t="s">
        <v>773</v>
      </c>
      <c r="D9" s="500" t="s">
        <v>2267</v>
      </c>
      <c r="E9" s="65">
        <f>'2006 Inventory'!$O9</f>
        <v>1784631.9189900002</v>
      </c>
      <c r="F9" s="533">
        <f>'2007 Inventory'!$O9</f>
        <v>2022750.7619672106</v>
      </c>
      <c r="G9" s="533">
        <f>'2008 Inventory'!$O9</f>
        <v>2705768.1555121341</v>
      </c>
      <c r="H9" s="533">
        <f>'2009 Inventory'!$O9</f>
        <v>2465721.4320677021</v>
      </c>
      <c r="I9" s="533">
        <f>'2010 Inventory'!$O9</f>
        <v>2551144.9097216013</v>
      </c>
      <c r="J9" s="533">
        <f>'2011 Inventory'!$O9</f>
        <v>2676826.5937736398</v>
      </c>
      <c r="K9" s="534">
        <f>'2012 Inventory'!$O9</f>
        <v>2233050.0691751996</v>
      </c>
    </row>
    <row r="10" spans="2:13">
      <c r="B10" s="307"/>
      <c r="C10" s="307"/>
      <c r="D10" s="521" t="s">
        <v>863</v>
      </c>
      <c r="E10" s="65">
        <f>'2006 Inventory'!$O10</f>
        <v>40200868.953624472</v>
      </c>
      <c r="F10" s="533">
        <f>'2007 Inventory'!$O10</f>
        <v>43107650.736941926</v>
      </c>
      <c r="G10" s="533">
        <f>'2008 Inventory'!$O10</f>
        <v>44722892.56129697</v>
      </c>
      <c r="H10" s="533">
        <f>'2009 Inventory'!$O10</f>
        <v>41914927.616066188</v>
      </c>
      <c r="I10" s="533">
        <f>'2010 Inventory'!$O10</f>
        <v>46618967.90539185</v>
      </c>
      <c r="J10" s="533">
        <f>'2011 Inventory'!$O10</f>
        <v>44150943.867367782</v>
      </c>
      <c r="K10" s="534">
        <f>'2012 Inventory'!$O10</f>
        <v>43162048.30882179</v>
      </c>
    </row>
    <row r="11" spans="2:13">
      <c r="B11" s="307"/>
      <c r="C11" s="307"/>
      <c r="D11" s="307"/>
    </row>
    <row r="12" spans="2:13">
      <c r="B12" s="55"/>
      <c r="C12" s="55"/>
      <c r="D12" s="55"/>
    </row>
    <row r="13" spans="2:13">
      <c r="B13" s="520" t="s">
        <v>58</v>
      </c>
      <c r="C13" s="521" t="s">
        <v>1</v>
      </c>
      <c r="D13" s="522" t="s">
        <v>54</v>
      </c>
      <c r="E13" s="56">
        <v>2006</v>
      </c>
      <c r="F13" s="57">
        <v>2007</v>
      </c>
      <c r="G13" s="57">
        <v>2008</v>
      </c>
      <c r="H13" s="525">
        <v>2009</v>
      </c>
      <c r="I13" s="525">
        <v>2010</v>
      </c>
      <c r="J13" s="525">
        <v>2011</v>
      </c>
      <c r="K13" s="526">
        <v>2012</v>
      </c>
    </row>
    <row r="14" spans="2:13">
      <c r="B14" s="252" t="s">
        <v>60</v>
      </c>
      <c r="C14" s="256" t="s">
        <v>686</v>
      </c>
      <c r="D14" s="307" t="s">
        <v>55</v>
      </c>
      <c r="E14" s="240">
        <f>'2006 Inventory'!$O14</f>
        <v>65955.636782608693</v>
      </c>
      <c r="F14" s="530">
        <f>'2007 Inventory'!$O14</f>
        <v>65955.636782608693</v>
      </c>
      <c r="G14" s="530">
        <f>'2008 Inventory'!$O14</f>
        <v>65955.636782608693</v>
      </c>
      <c r="H14" s="530">
        <f>'2009 Inventory'!$O14</f>
        <v>65955.636782608693</v>
      </c>
      <c r="I14" s="530">
        <f>'2010 Inventory'!$O14</f>
        <v>106543.72095652175</v>
      </c>
      <c r="J14" s="530">
        <f>'2011 Inventory'!$O14</f>
        <v>93014.359565217383</v>
      </c>
      <c r="K14" s="531">
        <f>'2012 Inventory'!$O14</f>
        <v>93014.359565217383</v>
      </c>
    </row>
    <row r="15" spans="2:13">
      <c r="B15" s="252" t="s">
        <v>60</v>
      </c>
      <c r="C15" s="256" t="s">
        <v>685</v>
      </c>
      <c r="D15" s="307" t="s">
        <v>55</v>
      </c>
      <c r="E15" s="64">
        <f>'2006 Inventory'!$O15</f>
        <v>2264781.221449275</v>
      </c>
      <c r="F15" s="519">
        <f>'2007 Inventory'!$O15</f>
        <v>2264781.221449275</v>
      </c>
      <c r="G15" s="519">
        <f>'2008 Inventory'!$O15</f>
        <v>2264781.221449275</v>
      </c>
      <c r="H15" s="519">
        <f>'2009 Inventory'!$O15</f>
        <v>2264781.221449275</v>
      </c>
      <c r="I15" s="519">
        <f>'2010 Inventory'!$O15</f>
        <v>2754037.0950724636</v>
      </c>
      <c r="J15" s="519">
        <f>'2011 Inventory'!$O15</f>
        <v>2568593.3365217391</v>
      </c>
      <c r="K15" s="532">
        <f>'2012 Inventory'!$O15</f>
        <v>2568593.3365217391</v>
      </c>
    </row>
    <row r="16" spans="2:13">
      <c r="B16" s="253" t="s">
        <v>60</v>
      </c>
      <c r="C16" s="258" t="s">
        <v>590</v>
      </c>
      <c r="D16" s="500" t="s">
        <v>55</v>
      </c>
      <c r="E16" s="65">
        <f>'2006 Inventory'!$O16</f>
        <v>214202.99599999998</v>
      </c>
      <c r="F16" s="533">
        <f>'2007 Inventory'!$O16</f>
        <v>214202.99599999998</v>
      </c>
      <c r="G16" s="533">
        <f>'2008 Inventory'!$O16</f>
        <v>214202.99599999998</v>
      </c>
      <c r="H16" s="533">
        <f>'2009 Inventory'!$O16</f>
        <v>214202.99599999998</v>
      </c>
      <c r="I16" s="533">
        <f>'2010 Inventory'!$O16</f>
        <v>183602.568</v>
      </c>
      <c r="J16" s="533">
        <f>'2011 Inventory'!$O16</f>
        <v>183602.568</v>
      </c>
      <c r="K16" s="534">
        <f>'2012 Inventory'!$O16</f>
        <v>183602.568</v>
      </c>
    </row>
    <row r="17" spans="2:11">
      <c r="B17" s="55"/>
      <c r="C17" s="307"/>
      <c r="D17" s="521" t="s">
        <v>863</v>
      </c>
      <c r="E17" s="65">
        <f>'2006 Inventory'!$O17</f>
        <v>2544939.8542318833</v>
      </c>
      <c r="F17" s="533">
        <f>'2007 Inventory'!$O17</f>
        <v>2544939.8542318833</v>
      </c>
      <c r="G17" s="533">
        <f>'2008 Inventory'!$O17</f>
        <v>2544939.8542318833</v>
      </c>
      <c r="H17" s="533">
        <f>'2009 Inventory'!$O17</f>
        <v>2544939.8542318833</v>
      </c>
      <c r="I17" s="533">
        <f>'2010 Inventory'!$O17</f>
        <v>3044183.3840289852</v>
      </c>
      <c r="J17" s="533">
        <f>'2011 Inventory'!$O17</f>
        <v>2845210.2640869566</v>
      </c>
      <c r="K17" s="534">
        <f>'2012 Inventory'!$O17</f>
        <v>2845210.2640869566</v>
      </c>
    </row>
    <row r="18" spans="2:11">
      <c r="B18" s="523" t="s">
        <v>694</v>
      </c>
      <c r="C18" s="524"/>
      <c r="D18" s="55"/>
    </row>
    <row r="19" spans="2:11">
      <c r="B19" s="524"/>
      <c r="C19" s="523"/>
      <c r="D19" s="524"/>
    </row>
    <row r="20" spans="2:11">
      <c r="B20" s="520" t="s">
        <v>58</v>
      </c>
      <c r="C20" s="521" t="s">
        <v>697</v>
      </c>
      <c r="D20" s="522" t="s">
        <v>54</v>
      </c>
      <c r="E20" s="518">
        <v>2006</v>
      </c>
      <c r="F20" s="527">
        <v>2007</v>
      </c>
      <c r="G20" s="527">
        <v>2008</v>
      </c>
      <c r="H20" s="528">
        <v>2009</v>
      </c>
      <c r="I20" s="528">
        <v>2010</v>
      </c>
      <c r="J20" s="528">
        <v>2011</v>
      </c>
      <c r="K20" s="529">
        <v>2012</v>
      </c>
    </row>
    <row r="21" spans="2:11">
      <c r="B21" s="252" t="s">
        <v>699</v>
      </c>
      <c r="C21" s="256" t="s">
        <v>698</v>
      </c>
      <c r="D21" s="307" t="s">
        <v>55</v>
      </c>
      <c r="E21" s="64">
        <f>'2006 Inventory'!$O21</f>
        <v>60134685.693547852</v>
      </c>
      <c r="F21" s="519">
        <f>'2007 Inventory'!$O21</f>
        <v>70905409.699200004</v>
      </c>
      <c r="G21" s="519">
        <f>'2008 Inventory'!$O21</f>
        <v>81404494.340153158</v>
      </c>
      <c r="H21" s="519">
        <f>'2009 Inventory'!$O21</f>
        <v>86391946.356462717</v>
      </c>
      <c r="I21" s="519">
        <f>'2010 Inventory'!$O21</f>
        <v>86690693.268322125</v>
      </c>
      <c r="J21" s="519">
        <f>'2011 Inventory'!$O21</f>
        <v>77306979.095355019</v>
      </c>
      <c r="K21" s="532">
        <f>'2012 Inventory'!$O21</f>
        <v>70022539.429598644</v>
      </c>
    </row>
    <row r="22" spans="2:11">
      <c r="B22" s="252" t="s">
        <v>699</v>
      </c>
      <c r="C22" s="256" t="s">
        <v>698</v>
      </c>
      <c r="D22" s="307" t="s">
        <v>56</v>
      </c>
      <c r="E22" s="64">
        <f>'2006 Inventory'!$O22</f>
        <v>9724199.2313408386</v>
      </c>
      <c r="F22" s="519">
        <f>'2007 Inventory'!$O22</f>
        <v>17296899.733559124</v>
      </c>
      <c r="G22" s="519">
        <f>'2008 Inventory'!$O22</f>
        <v>36825993.910972185</v>
      </c>
      <c r="H22" s="519">
        <f>'2009 Inventory'!$O22</f>
        <v>42439499.636468165</v>
      </c>
      <c r="I22" s="519">
        <f>'2010 Inventory'!$O22</f>
        <v>42045265.88039998</v>
      </c>
      <c r="J22" s="519">
        <f>'2011 Inventory'!$O22</f>
        <v>39852653.292423859</v>
      </c>
      <c r="K22" s="532">
        <f>'2012 Inventory'!$O22</f>
        <v>36638672.855219275</v>
      </c>
    </row>
    <row r="23" spans="2:11">
      <c r="B23" s="252" t="s">
        <v>699</v>
      </c>
      <c r="C23" s="256" t="s">
        <v>698</v>
      </c>
      <c r="D23" s="307" t="s">
        <v>57</v>
      </c>
      <c r="E23" s="64">
        <f>'2006 Inventory'!$O23</f>
        <v>18733395.688703127</v>
      </c>
      <c r="F23" s="519">
        <f>'2007 Inventory'!$O23</f>
        <v>15593271.029708495</v>
      </c>
      <c r="G23" s="519">
        <f>'2008 Inventory'!$O23</f>
        <v>34911357.273616485</v>
      </c>
      <c r="H23" s="519">
        <f>'2009 Inventory'!$O23</f>
        <v>29683575.258297831</v>
      </c>
      <c r="I23" s="519">
        <f>'2010 Inventory'!$O23</f>
        <v>38161274.363821626</v>
      </c>
      <c r="J23" s="519">
        <f>'2011 Inventory'!$O23</f>
        <v>38543854.193634264</v>
      </c>
      <c r="K23" s="532">
        <f>'2012 Inventory'!$O23</f>
        <v>39745496.443475708</v>
      </c>
    </row>
    <row r="24" spans="2:11">
      <c r="B24" s="252" t="s">
        <v>699</v>
      </c>
      <c r="C24" s="256" t="s">
        <v>698</v>
      </c>
      <c r="D24" s="307" t="s">
        <v>2267</v>
      </c>
      <c r="E24" s="64">
        <f>'2006 Inventory'!$O25</f>
        <v>7871745.7718834821</v>
      </c>
      <c r="F24" s="519">
        <f>'2007 Inventory'!$O25</f>
        <v>7908849.8444114821</v>
      </c>
      <c r="G24" s="519">
        <f>'2008 Inventory'!$O24</f>
        <v>8075818.1707874825</v>
      </c>
      <c r="H24" s="519">
        <f>'2009 Inventory'!$O24</f>
        <v>8799735.3559859358</v>
      </c>
      <c r="I24" s="519">
        <f>'2010 Inventory'!$O24</f>
        <v>8345992.0467024194</v>
      </c>
      <c r="J24" s="519">
        <f>'2011 Inventory'!$O24</f>
        <v>8031652.5727323471</v>
      </c>
      <c r="K24" s="532">
        <f>'2012 Inventory'!$O24</f>
        <v>7143158.1063490575</v>
      </c>
    </row>
    <row r="25" spans="2:11">
      <c r="B25" s="252" t="s">
        <v>699</v>
      </c>
      <c r="C25" s="256" t="s">
        <v>717</v>
      </c>
      <c r="D25" s="307" t="s">
        <v>55</v>
      </c>
      <c r="E25" s="64">
        <f>'2006 Inventory'!$O27</f>
        <v>43524541.352797516</v>
      </c>
      <c r="F25" s="519">
        <f>'2007 Inventory'!$O27</f>
        <v>43792459.732359074</v>
      </c>
      <c r="G25" s="519">
        <f>'2008 Inventory'!$O25</f>
        <v>43548555.803262547</v>
      </c>
      <c r="H25" s="519">
        <f>'2009 Inventory'!$O25</f>
        <v>43964186.089082979</v>
      </c>
      <c r="I25" s="519">
        <f>'2010 Inventory'!$O25</f>
        <v>44029409.998323664</v>
      </c>
      <c r="J25" s="519">
        <f>'2011 Inventory'!$O25</f>
        <v>40993301.0478964</v>
      </c>
      <c r="K25" s="532">
        <f>'2012 Inventory'!$O25</f>
        <v>36013072.338956177</v>
      </c>
    </row>
    <row r="26" spans="2:11">
      <c r="B26" s="252" t="s">
        <v>699</v>
      </c>
      <c r="C26" s="256" t="s">
        <v>717</v>
      </c>
      <c r="D26" s="307" t="s">
        <v>56</v>
      </c>
      <c r="E26" s="64">
        <f>'2006 Inventory'!$O28</f>
        <v>41421594.356382735</v>
      </c>
      <c r="F26" s="519">
        <f>'2007 Inventory'!$O28</f>
        <v>43902993.721087359</v>
      </c>
      <c r="G26" s="519">
        <f>'2008 Inventory'!$O26</f>
        <v>43964117.538018033</v>
      </c>
      <c r="H26" s="519">
        <f>'2009 Inventory'!$O26</f>
        <v>46287304.444576822</v>
      </c>
      <c r="I26" s="519">
        <f>'2010 Inventory'!$O26</f>
        <v>45959691.97494214</v>
      </c>
      <c r="J26" s="519">
        <f>'2011 Inventory'!$O26</f>
        <v>43933607.644748032</v>
      </c>
      <c r="K26" s="532">
        <f>'2012 Inventory'!$O26</f>
        <v>43304803.057700895</v>
      </c>
    </row>
    <row r="27" spans="2:11">
      <c r="B27" s="252" t="s">
        <v>699</v>
      </c>
      <c r="C27" s="256" t="s">
        <v>717</v>
      </c>
      <c r="D27" s="307" t="s">
        <v>57</v>
      </c>
      <c r="E27" s="64">
        <f>'2006 Inventory'!$O29</f>
        <v>8748558.9123623036</v>
      </c>
      <c r="F27" s="519">
        <f>'2007 Inventory'!$O29</f>
        <v>9155360.8123207204</v>
      </c>
      <c r="G27" s="519">
        <f>'2008 Inventory'!$O27</f>
        <v>9440020.7275452353</v>
      </c>
      <c r="H27" s="519">
        <f>'2009 Inventory'!$O27</f>
        <v>10354797.686205843</v>
      </c>
      <c r="I27" s="519">
        <f>'2010 Inventory'!$O27</f>
        <v>10886755.26299954</v>
      </c>
      <c r="J27" s="519">
        <f>'2011 Inventory'!$O27</f>
        <v>10696630.192216061</v>
      </c>
      <c r="K27" s="532">
        <f>'2012 Inventory'!$O27</f>
        <v>10002947.687749261</v>
      </c>
    </row>
    <row r="28" spans="2:11">
      <c r="B28" s="253" t="s">
        <v>699</v>
      </c>
      <c r="C28" s="258" t="s">
        <v>717</v>
      </c>
      <c r="D28" s="500" t="s">
        <v>2267</v>
      </c>
      <c r="E28" s="64">
        <f>'2006 Inventory'!$O30</f>
        <v>5229701.8681546682</v>
      </c>
      <c r="F28" s="519">
        <f>'2007 Inventory'!$O30</f>
        <v>5486104.949013575</v>
      </c>
      <c r="G28" s="519">
        <f>'2008 Inventory'!$O28</f>
        <v>5579568.5282250084</v>
      </c>
      <c r="H28" s="519">
        <f>'2009 Inventory'!$O28</f>
        <v>5714335.4131548898</v>
      </c>
      <c r="I28" s="519">
        <f>'2010 Inventory'!$O28</f>
        <v>4554103.6597291762</v>
      </c>
      <c r="J28" s="519">
        <f>'2011 Inventory'!$O28</f>
        <v>3971469.4437461789</v>
      </c>
      <c r="K28" s="532">
        <f>'2012 Inventory'!$O28</f>
        <v>3608272.9736184618</v>
      </c>
    </row>
    <row r="29" spans="2:11">
      <c r="B29" s="524"/>
      <c r="C29" s="524"/>
      <c r="D29" s="521" t="s">
        <v>863</v>
      </c>
      <c r="E29" s="535">
        <f>'2006 Inventory'!$O31</f>
        <v>195388422.87517244</v>
      </c>
      <c r="F29" s="536">
        <f>'2007 Inventory'!$O31</f>
        <v>214041349.52165982</v>
      </c>
      <c r="G29" s="536">
        <f>'2008 Inventory'!$O29</f>
        <v>263749926.29258016</v>
      </c>
      <c r="H29" s="536">
        <f>'2009 Inventory'!$O29</f>
        <v>273635380.24023521</v>
      </c>
      <c r="I29" s="536">
        <f>'2010 Inventory'!$O29</f>
        <v>280673186.45524067</v>
      </c>
      <c r="J29" s="536">
        <f>'2011 Inventory'!$O29</f>
        <v>263330147.4827522</v>
      </c>
      <c r="K29" s="537">
        <f>'2012 Inventory'!$O29</f>
        <v>246478962.89266747</v>
      </c>
    </row>
    <row r="30" spans="2:11">
      <c r="B30" s="185" t="s">
        <v>784</v>
      </c>
      <c r="C30" s="524"/>
      <c r="D30" s="524"/>
    </row>
    <row r="31" spans="2:11">
      <c r="B31" s="524"/>
      <c r="C31" s="523"/>
      <c r="D31" s="524"/>
    </row>
    <row r="32" spans="2:11">
      <c r="B32" s="520" t="s">
        <v>58</v>
      </c>
      <c r="C32" s="521" t="s">
        <v>783</v>
      </c>
      <c r="D32" s="522" t="s">
        <v>54</v>
      </c>
      <c r="E32" s="518">
        <v>2006</v>
      </c>
      <c r="F32" s="527">
        <v>2007</v>
      </c>
      <c r="G32" s="527">
        <v>2008</v>
      </c>
      <c r="H32" s="528">
        <v>2009</v>
      </c>
      <c r="I32" s="528">
        <v>2010</v>
      </c>
      <c r="J32" s="528">
        <v>2011</v>
      </c>
      <c r="K32" s="529">
        <v>2012</v>
      </c>
    </row>
    <row r="33" spans="2:11">
      <c r="B33" s="251" t="s">
        <v>781</v>
      </c>
      <c r="C33" s="254" t="s">
        <v>855</v>
      </c>
      <c r="D33" s="499" t="s">
        <v>782</v>
      </c>
      <c r="E33" s="64">
        <f>'2006 Inventory'!$O35</f>
        <v>57479204.405040525</v>
      </c>
      <c r="F33" s="519">
        <f>'2007 Inventory'!$O35</f>
        <v>58494555.462396957</v>
      </c>
      <c r="G33" s="519">
        <f>'2008 Inventory'!$O33</f>
        <v>57405466.923415743</v>
      </c>
      <c r="H33" s="519">
        <f>'2009 Inventory'!$O33</f>
        <v>61618366.214013159</v>
      </c>
      <c r="I33" s="519">
        <f>'2010 Inventory'!$O33</f>
        <v>57922822.003278293</v>
      </c>
      <c r="J33" s="519">
        <f>'2011 Inventory'!$O33</f>
        <v>57282412.636605084</v>
      </c>
      <c r="K33" s="532">
        <f>'2012 Inventory'!$O33</f>
        <v>54705427.460241705</v>
      </c>
    </row>
    <row r="34" spans="2:11">
      <c r="B34" s="252" t="s">
        <v>781</v>
      </c>
      <c r="C34" s="256" t="s">
        <v>862</v>
      </c>
      <c r="D34" s="307" t="s">
        <v>782</v>
      </c>
      <c r="E34" s="64">
        <f>'2006 Inventory'!$O36</f>
        <v>323125.17682936246</v>
      </c>
      <c r="F34" s="519">
        <f>'2007 Inventory'!$O36</f>
        <v>328720.86549631844</v>
      </c>
      <c r="G34" s="519">
        <f>'2008 Inventory'!$O34</f>
        <v>322335.7918391623</v>
      </c>
      <c r="H34" s="519">
        <f>'2009 Inventory'!$O34</f>
        <v>346035.6276636594</v>
      </c>
      <c r="I34" s="519">
        <f>'2010 Inventory'!$O34</f>
        <v>325298.06376762089</v>
      </c>
      <c r="J34" s="519">
        <f>'2011 Inventory'!$O34</f>
        <v>321701.48611838871</v>
      </c>
      <c r="K34" s="532">
        <f>'2012 Inventory'!$O34</f>
        <v>307228.98185778095</v>
      </c>
    </row>
    <row r="35" spans="2:11">
      <c r="B35" s="252" t="s">
        <v>781</v>
      </c>
      <c r="C35" s="256" t="s">
        <v>856</v>
      </c>
      <c r="D35" s="307" t="s">
        <v>782</v>
      </c>
      <c r="E35" s="64">
        <f>'2006 Inventory'!$O37</f>
        <v>9535998.8666743971</v>
      </c>
      <c r="F35" s="519">
        <f>'2007 Inventory'!$O37</f>
        <v>10414244.606653694</v>
      </c>
      <c r="G35" s="519">
        <f>'2008 Inventory'!$O35</f>
        <v>10341216.53943865</v>
      </c>
      <c r="H35" s="519">
        <f>'2009 Inventory'!$O35</f>
        <v>11199757.689606983</v>
      </c>
      <c r="I35" s="519">
        <f>'2010 Inventory'!$O35</f>
        <v>10998747.094404185</v>
      </c>
      <c r="J35" s="519">
        <f>'2011 Inventory'!$O35</f>
        <v>10834388.440954078</v>
      </c>
      <c r="K35" s="532">
        <f>'2012 Inventory'!$O35</f>
        <v>10622279.387984369</v>
      </c>
    </row>
    <row r="36" spans="2:11">
      <c r="B36" s="252" t="s">
        <v>781</v>
      </c>
      <c r="C36" s="256" t="s">
        <v>857</v>
      </c>
      <c r="D36" s="307" t="s">
        <v>782</v>
      </c>
      <c r="E36" s="64">
        <f>'2006 Inventory'!$O38</f>
        <v>432818.11160826485</v>
      </c>
      <c r="F36" s="519">
        <f>'2007 Inventory'!$O38</f>
        <v>473231.86250111845</v>
      </c>
      <c r="G36" s="519">
        <f>'2008 Inventory'!$O36</f>
        <v>469724.47513441963</v>
      </c>
      <c r="H36" s="519">
        <f>'2009 Inventory'!$O36</f>
        <v>508755.54745023197</v>
      </c>
      <c r="I36" s="519">
        <f>'2010 Inventory'!$O36</f>
        <v>499678.90119963145</v>
      </c>
      <c r="J36" s="519">
        <f>'2011 Inventory'!$O36</f>
        <v>492212.00059234473</v>
      </c>
      <c r="K36" s="532">
        <f>'2012 Inventory'!$O36</f>
        <v>482575.77406465943</v>
      </c>
    </row>
    <row r="37" spans="2:11">
      <c r="B37" s="252" t="s">
        <v>853</v>
      </c>
      <c r="C37" s="256" t="s">
        <v>858</v>
      </c>
      <c r="D37" s="307" t="s">
        <v>782</v>
      </c>
      <c r="E37" s="64">
        <f>'2006 Inventory'!$O39</f>
        <v>1703685.586709277</v>
      </c>
      <c r="F37" s="519">
        <f>'2007 Inventory'!$O39</f>
        <v>1684416.0951348164</v>
      </c>
      <c r="G37" s="519">
        <f>'2008 Inventory'!$O37</f>
        <v>1644174.678170332</v>
      </c>
      <c r="H37" s="519">
        <f>'2009 Inventory'!$O37</f>
        <v>1553608.1184059479</v>
      </c>
      <c r="I37" s="519">
        <f>'2010 Inventory'!$O37</f>
        <v>1328177.406842608</v>
      </c>
      <c r="J37" s="519">
        <f>'2011 Inventory'!$O37</f>
        <v>1316481.827330376</v>
      </c>
      <c r="K37" s="532">
        <f>'2012 Inventory'!$O37</f>
        <v>1188660.0060343673</v>
      </c>
    </row>
    <row r="38" spans="2:11">
      <c r="B38" s="252" t="s">
        <v>853</v>
      </c>
      <c r="C38" s="256" t="s">
        <v>859</v>
      </c>
      <c r="D38" s="307" t="s">
        <v>782</v>
      </c>
      <c r="E38" s="64">
        <f>'2006 Inventory'!$O40</f>
        <v>5177637.6535722809</v>
      </c>
      <c r="F38" s="519">
        <f>'2007 Inventory'!$O40</f>
        <v>5119076.1173830656</v>
      </c>
      <c r="G38" s="519">
        <f>'2008 Inventory'!$O38</f>
        <v>4996779.2115843473</v>
      </c>
      <c r="H38" s="519">
        <f>'2009 Inventory'!$O38</f>
        <v>4721540.1453806385</v>
      </c>
      <c r="I38" s="519">
        <f>'2010 Inventory'!$O38</f>
        <v>4036438.06459329</v>
      </c>
      <c r="J38" s="519">
        <f>'2011 Inventory'!$O38</f>
        <v>4000894.2569005531</v>
      </c>
      <c r="K38" s="532">
        <f>'2012 Inventory'!$O38</f>
        <v>3612433.4516596529</v>
      </c>
    </row>
    <row r="39" spans="2:11">
      <c r="B39" s="252" t="s">
        <v>853</v>
      </c>
      <c r="C39" s="256" t="s">
        <v>860</v>
      </c>
      <c r="D39" s="307" t="s">
        <v>782</v>
      </c>
      <c r="E39" s="64">
        <f>'2006 Inventory'!$O41</f>
        <v>24578.33022024827</v>
      </c>
      <c r="F39" s="519">
        <f>'2007 Inventory'!$O41</f>
        <v>30435.321832422353</v>
      </c>
      <c r="G39" s="519">
        <f>'2008 Inventory'!$O39</f>
        <v>30470.291871377733</v>
      </c>
      <c r="H39" s="519">
        <f>'2009 Inventory'!$O39</f>
        <v>30552.893835186547</v>
      </c>
      <c r="I39" s="519">
        <f>'2010 Inventory'!$O39</f>
        <v>36365.463683332484</v>
      </c>
      <c r="J39" s="519">
        <f>'2011 Inventory'!$O39</f>
        <v>36223.978866859252</v>
      </c>
      <c r="K39" s="532">
        <f>'2012 Inventory'!$O39</f>
        <v>40986.718415959556</v>
      </c>
    </row>
    <row r="40" spans="2:11">
      <c r="B40" s="253" t="s">
        <v>853</v>
      </c>
      <c r="C40" s="258" t="s">
        <v>861</v>
      </c>
      <c r="D40" s="500" t="s">
        <v>782</v>
      </c>
      <c r="E40" s="64">
        <f>'2006 Inventory'!$O42</f>
        <v>1787701.8996471602</v>
      </c>
      <c r="F40" s="519">
        <f>'2007 Inventory'!$O42</f>
        <v>2213709.4818333243</v>
      </c>
      <c r="G40" s="519">
        <f>'2008 Inventory'!$O40</f>
        <v>2216253.0234210179</v>
      </c>
      <c r="H40" s="519">
        <f>'2009 Inventory'!$O40</f>
        <v>2222261.0673480197</v>
      </c>
      <c r="I40" s="519">
        <f>'2010 Inventory'!$O40</f>
        <v>2645037.6378573454</v>
      </c>
      <c r="J40" s="519">
        <f>'2011 Inventory'!$O40</f>
        <v>2634746.7567065968</v>
      </c>
      <c r="K40" s="532">
        <f>'2012 Inventory'!$O40</f>
        <v>2981164.0463740993</v>
      </c>
    </row>
    <row r="41" spans="2:11">
      <c r="B41" s="524"/>
      <c r="C41" s="524"/>
      <c r="D41" s="521" t="s">
        <v>863</v>
      </c>
      <c r="E41" s="535">
        <f>'2006 Inventory'!$O43</f>
        <v>76464750.030301511</v>
      </c>
      <c r="F41" s="536">
        <f>'2007 Inventory'!$O43</f>
        <v>78758389.813231692</v>
      </c>
      <c r="G41" s="536">
        <f>'2008 Inventory'!$O41</f>
        <v>77426420.934875056</v>
      </c>
      <c r="H41" s="536">
        <f>'2009 Inventory'!$O41</f>
        <v>82200877.30370383</v>
      </c>
      <c r="I41" s="536">
        <f>'2010 Inventory'!$O41</f>
        <v>77792564.635626316</v>
      </c>
      <c r="J41" s="536">
        <f>'2011 Inventory'!$O41</f>
        <v>76919061.384074286</v>
      </c>
      <c r="K41" s="537">
        <f>'2012 Inventory'!$O41</f>
        <v>73940755.826632604</v>
      </c>
    </row>
    <row r="42" spans="2:11" s="697" customFormat="1">
      <c r="B42" s="185" t="s">
        <v>2061</v>
      </c>
      <c r="D42" s="627"/>
    </row>
    <row r="43" spans="2:11" s="697" customFormat="1">
      <c r="C43" s="2"/>
    </row>
    <row r="44" spans="2:11" s="697" customFormat="1">
      <c r="B44" s="792" t="s">
        <v>58</v>
      </c>
      <c r="C44" s="796" t="s">
        <v>2065</v>
      </c>
      <c r="D44" s="794" t="s">
        <v>54</v>
      </c>
      <c r="E44" s="56">
        <v>2006</v>
      </c>
      <c r="F44" s="57">
        <v>2007</v>
      </c>
      <c r="G44" s="57">
        <v>2008</v>
      </c>
      <c r="H44" s="525">
        <v>2009</v>
      </c>
      <c r="I44" s="525">
        <v>2010</v>
      </c>
      <c r="J44" s="525">
        <v>2011</v>
      </c>
      <c r="K44" s="526">
        <v>2012</v>
      </c>
    </row>
    <row r="45" spans="2:11" s="697" customFormat="1">
      <c r="B45" s="630" t="s">
        <v>2074</v>
      </c>
      <c r="C45" s="795" t="s">
        <v>2073</v>
      </c>
      <c r="D45" s="795" t="s">
        <v>2063</v>
      </c>
      <c r="E45" s="240">
        <f>'2006 Inventory'!$O47</f>
        <v>8406217.5908040013</v>
      </c>
      <c r="F45" s="530">
        <f>'2007 Inventory'!$O47</f>
        <v>8289718.821432</v>
      </c>
      <c r="G45" s="530">
        <f>'2008 Inventory'!$O45</f>
        <v>8088869.2703965716</v>
      </c>
      <c r="H45" s="530">
        <f>'2009 Inventory'!$O45</f>
        <v>7783176.8864160012</v>
      </c>
      <c r="I45" s="530">
        <f>'2010 Inventory'!$O45</f>
        <v>7500521.0482354295</v>
      </c>
      <c r="J45" s="530">
        <f>'2011 Inventory'!$O45</f>
        <v>8500746.2305679992</v>
      </c>
      <c r="K45" s="531">
        <f>'2012 Inventory'!$O45</f>
        <v>9886979.9771999978</v>
      </c>
    </row>
    <row r="46" spans="2:11" s="697" customFormat="1">
      <c r="B46" s="165" t="s">
        <v>2069</v>
      </c>
      <c r="C46" s="153" t="s">
        <v>2070</v>
      </c>
      <c r="D46" s="153" t="s">
        <v>2063</v>
      </c>
      <c r="E46" s="64">
        <f>'2006 Inventory'!$O48</f>
        <v>71411.595339383566</v>
      </c>
      <c r="F46" s="741">
        <f>'2007 Inventory'!$O48</f>
        <v>70421.92752671233</v>
      </c>
      <c r="G46" s="741">
        <f>'2008 Inventory'!$O46</f>
        <v>68715.692028082194</v>
      </c>
      <c r="H46" s="741">
        <f>'2009 Inventory'!$O46</f>
        <v>66118.806973972605</v>
      </c>
      <c r="I46" s="741">
        <f>'2010 Inventory'!$O46</f>
        <v>63717.619505479452</v>
      </c>
      <c r="J46" s="741">
        <f>'2011 Inventory'!$O46</f>
        <v>72214.624870547937</v>
      </c>
      <c r="K46" s="532">
        <f>'2012 Inventory'!$O46</f>
        <v>83990.808664383556</v>
      </c>
    </row>
    <row r="47" spans="2:11" s="697" customFormat="1">
      <c r="B47" s="165" t="s">
        <v>2075</v>
      </c>
      <c r="C47" s="153" t="s">
        <v>2076</v>
      </c>
      <c r="D47" s="153" t="s">
        <v>2063</v>
      </c>
      <c r="E47" s="64">
        <f>'2006 Inventory'!$O49</f>
        <v>3537.1584116605991</v>
      </c>
      <c r="F47" s="741">
        <f>'2007 Inventory'!$O49</f>
        <v>3488.1381956620185</v>
      </c>
      <c r="G47" s="741">
        <f>'2008 Inventory'!$O47</f>
        <v>3403.6249563544357</v>
      </c>
      <c r="H47" s="741">
        <f>'2009 Inventory'!$O47</f>
        <v>3274.9960723531071</v>
      </c>
      <c r="I47" s="741">
        <f>'2010 Inventory'!$O47</f>
        <v>3156.0604791656169</v>
      </c>
      <c r="J47" s="741">
        <f>'2011 Inventory'!$O47</f>
        <v>3576.9340622040531</v>
      </c>
      <c r="K47" s="532">
        <f>'2012 Inventory'!$O47</f>
        <v>4160.2318777151777</v>
      </c>
    </row>
    <row r="48" spans="2:11" s="697" customFormat="1">
      <c r="B48" s="166" t="s">
        <v>2068</v>
      </c>
      <c r="C48" s="158" t="s">
        <v>2071</v>
      </c>
      <c r="D48" s="158" t="s">
        <v>2063</v>
      </c>
      <c r="E48" s="64">
        <f>'2006 Inventory'!$O50</f>
        <v>1591718.2592396082</v>
      </c>
      <c r="F48" s="741">
        <f>'2007 Inventory'!$O50</f>
        <v>1569659.2039766074</v>
      </c>
      <c r="G48" s="741">
        <f>'2008 Inventory'!$O48</f>
        <v>1531628.3185885225</v>
      </c>
      <c r="H48" s="741">
        <f>'2009 Inventory'!$O48</f>
        <v>1473745.4308287944</v>
      </c>
      <c r="I48" s="741">
        <f>'2010 Inventory'!$O48</f>
        <v>1420224.5156427692</v>
      </c>
      <c r="J48" s="741">
        <f>'2011 Inventory'!$O48</f>
        <v>1609617.2679564471</v>
      </c>
      <c r="K48" s="532">
        <f>'2012 Inventory'!$O48</f>
        <v>1872100.7859303437</v>
      </c>
    </row>
    <row r="49" spans="2:11" s="697" customFormat="1">
      <c r="D49" s="629" t="s">
        <v>863</v>
      </c>
      <c r="E49" s="885">
        <f>SUM(E45:E48)</f>
        <v>10072884.603794655</v>
      </c>
      <c r="F49" s="886">
        <f t="shared" ref="F49:K49" si="0">SUM(F45:F48)</f>
        <v>9933288.0911309812</v>
      </c>
      <c r="G49" s="886">
        <f t="shared" si="0"/>
        <v>9692616.9059695303</v>
      </c>
      <c r="H49" s="886">
        <f t="shared" si="0"/>
        <v>9326316.1202911213</v>
      </c>
      <c r="I49" s="886">
        <f t="shared" si="0"/>
        <v>8987619.2438628431</v>
      </c>
      <c r="J49" s="886">
        <f t="shared" si="0"/>
        <v>10186155.057457197</v>
      </c>
      <c r="K49" s="887">
        <f t="shared" si="0"/>
        <v>11847231.803672438</v>
      </c>
    </row>
    <row r="50" spans="2:11" s="697" customFormat="1">
      <c r="B50" s="185" t="s">
        <v>2247</v>
      </c>
      <c r="D50" s="627"/>
    </row>
    <row r="51" spans="2:11" s="697" customFormat="1">
      <c r="C51" s="2"/>
    </row>
    <row r="52" spans="2:11" s="697" customFormat="1">
      <c r="B52" s="172" t="s">
        <v>58</v>
      </c>
      <c r="C52" s="659" t="s">
        <v>2065</v>
      </c>
      <c r="D52" s="168" t="s">
        <v>54</v>
      </c>
      <c r="E52" s="56">
        <v>2006</v>
      </c>
      <c r="F52" s="57">
        <v>2007</v>
      </c>
      <c r="G52" s="57">
        <v>2008</v>
      </c>
      <c r="H52" s="525">
        <v>2009</v>
      </c>
      <c r="I52" s="525">
        <v>2010</v>
      </c>
      <c r="J52" s="525">
        <v>2011</v>
      </c>
      <c r="K52" s="526">
        <v>2012</v>
      </c>
    </row>
    <row r="53" spans="2:11" s="697" customFormat="1">
      <c r="B53" s="630" t="s">
        <v>2170</v>
      </c>
      <c r="C53" s="631" t="s">
        <v>2171</v>
      </c>
      <c r="D53" s="795" t="s">
        <v>2077</v>
      </c>
      <c r="E53" s="240">
        <f>'2006 Inventory'!$O55</f>
        <v>5837.241823504939</v>
      </c>
      <c r="F53" s="530">
        <f>'2007 Inventory'!$O55</f>
        <v>6237.1788019767255</v>
      </c>
      <c r="G53" s="530">
        <f>'2008 Inventory'!$O53</f>
        <v>5315.6069843075866</v>
      </c>
      <c r="H53" s="530">
        <f>'2009 Inventory'!$O53</f>
        <v>5345.5635451368025</v>
      </c>
      <c r="I53" s="530">
        <f>'2010 Inventory'!$O53</f>
        <v>5464.0988058604735</v>
      </c>
      <c r="J53" s="530">
        <f>'2011 Inventory'!$O53</f>
        <v>5454.8736765597041</v>
      </c>
      <c r="K53" s="531">
        <f>'2012 Inventory'!$O53</f>
        <v>5640.2649389257576</v>
      </c>
    </row>
    <row r="54" spans="2:11" s="697" customFormat="1">
      <c r="B54" s="165" t="s">
        <v>2074</v>
      </c>
      <c r="C54" s="152" t="s">
        <v>2245</v>
      </c>
      <c r="D54" s="153" t="s">
        <v>2077</v>
      </c>
      <c r="E54" s="64">
        <f>'2006 Inventory'!$O56</f>
        <v>295465.32686876849</v>
      </c>
      <c r="F54" s="741">
        <f>'2007 Inventory'!$O56</f>
        <v>315709.05047042691</v>
      </c>
      <c r="G54" s="741">
        <f>'2008 Inventory'!$O54</f>
        <v>269061.58809458156</v>
      </c>
      <c r="H54" s="741">
        <f>'2009 Inventory'!$O54</f>
        <v>270577.90784025792</v>
      </c>
      <c r="I54" s="741">
        <f>'2010 Inventory'!$O54</f>
        <v>276577.84079046844</v>
      </c>
      <c r="J54" s="741">
        <f>'2011 Inventory'!$O54</f>
        <v>276110.88980117021</v>
      </c>
      <c r="K54" s="532">
        <f>'2012 Inventory'!$O54</f>
        <v>285494.89197031618</v>
      </c>
    </row>
    <row r="55" spans="2:11" s="697" customFormat="1">
      <c r="B55" s="166" t="s">
        <v>2069</v>
      </c>
      <c r="C55" s="157" t="s">
        <v>2246</v>
      </c>
      <c r="D55" s="158" t="s">
        <v>2077</v>
      </c>
      <c r="E55" s="65">
        <f>'2006 Inventory'!$O57</f>
        <v>10089.059941860385</v>
      </c>
      <c r="F55" s="708">
        <f>'2007 Inventory'!$O57</f>
        <v>10780.3090404536</v>
      </c>
      <c r="G55" s="708">
        <f>'2008 Inventory'!$O55</f>
        <v>9187.4688617661996</v>
      </c>
      <c r="H55" s="708">
        <f>'2009 Inventory'!$O55</f>
        <v>9239.2456335697825</v>
      </c>
      <c r="I55" s="708">
        <f>'2010 Inventory'!$O55</f>
        <v>9444.1213928452617</v>
      </c>
      <c r="J55" s="708">
        <f>'2011 Inventory'!$O55</f>
        <v>9428.1767249180048</v>
      </c>
      <c r="K55" s="534">
        <f>'2012 Inventory'!$O55</f>
        <v>9748.6060672790882</v>
      </c>
    </row>
    <row r="56" spans="2:11" s="697" customFormat="1">
      <c r="D56" s="629" t="s">
        <v>863</v>
      </c>
      <c r="E56" s="65">
        <f>SUM(E53:E55)</f>
        <v>311391.62863413378</v>
      </c>
      <c r="F56" s="708">
        <f t="shared" ref="F56:K56" si="1">SUM(F53:F55)</f>
        <v>332726.53831285721</v>
      </c>
      <c r="G56" s="708">
        <f t="shared" si="1"/>
        <v>283564.66394065536</v>
      </c>
      <c r="H56" s="708">
        <f t="shared" si="1"/>
        <v>285162.71701896453</v>
      </c>
      <c r="I56" s="708">
        <f t="shared" si="1"/>
        <v>291486.06098917418</v>
      </c>
      <c r="J56" s="708">
        <f t="shared" si="1"/>
        <v>290993.94020264794</v>
      </c>
      <c r="K56" s="534">
        <f t="shared" si="1"/>
        <v>300883.76297652099</v>
      </c>
    </row>
    <row r="57" spans="2:11">
      <c r="B57" s="543" t="s">
        <v>969</v>
      </c>
    </row>
    <row r="58" spans="2:11">
      <c r="B58" s="538"/>
    </row>
    <row r="59" spans="2:11">
      <c r="B59" s="888"/>
      <c r="C59" s="57">
        <v>2006</v>
      </c>
      <c r="D59" s="57">
        <v>2007</v>
      </c>
      <c r="E59" s="57">
        <v>2008</v>
      </c>
      <c r="F59" s="525">
        <v>2009</v>
      </c>
      <c r="G59" s="525">
        <v>2010</v>
      </c>
      <c r="H59" s="525">
        <v>2011</v>
      </c>
      <c r="I59" s="526">
        <v>2012</v>
      </c>
    </row>
    <row r="60" spans="2:11">
      <c r="B60" s="891" t="s">
        <v>55</v>
      </c>
      <c r="C60" s="895">
        <f>SUM(E21,E25,E14,E15,E16,E6)</f>
        <v>121672021.07073863</v>
      </c>
      <c r="D60" s="270">
        <f t="shared" ref="D60:I60" si="2">SUM(F21,F25,F14,F15,F16,F6)</f>
        <v>133427440.34729712</v>
      </c>
      <c r="E60" s="270">
        <f t="shared" si="2"/>
        <v>144677447.55252391</v>
      </c>
      <c r="F60" s="270">
        <f t="shared" si="2"/>
        <v>149931032.02489328</v>
      </c>
      <c r="G60" s="270">
        <f t="shared" si="2"/>
        <v>151678605.0253664</v>
      </c>
      <c r="H60" s="270">
        <f t="shared" si="2"/>
        <v>136863945.18533784</v>
      </c>
      <c r="I60" s="267">
        <f t="shared" si="2"/>
        <v>123251470.71081419</v>
      </c>
    </row>
    <row r="61" spans="2:11">
      <c r="B61" s="892" t="s">
        <v>56</v>
      </c>
      <c r="C61" s="896">
        <f>SUM(E26,E22,E7)</f>
        <v>61173438.77153001</v>
      </c>
      <c r="D61" s="248">
        <f t="shared" ref="D61:I61" si="3">SUM(F26,F22,F7)</f>
        <v>71525823.776688173</v>
      </c>
      <c r="E61" s="248">
        <f t="shared" si="3"/>
        <v>91860363.224598333</v>
      </c>
      <c r="F61" s="248">
        <f t="shared" si="3"/>
        <v>99840118.51864925</v>
      </c>
      <c r="G61" s="248">
        <f t="shared" si="3"/>
        <v>99611533.8612957</v>
      </c>
      <c r="H61" s="248">
        <f t="shared" si="3"/>
        <v>94281834.761083379</v>
      </c>
      <c r="I61" s="268">
        <f t="shared" si="3"/>
        <v>89539088.600648433</v>
      </c>
    </row>
    <row r="62" spans="2:11">
      <c r="B62" s="892" t="s">
        <v>57</v>
      </c>
      <c r="C62" s="896">
        <f>SUM(E23,E27,E8)</f>
        <v>40402692.28173209</v>
      </c>
      <c r="D62" s="248">
        <f t="shared" ref="D62:I62" si="4">SUM(F23,F27,F8)</f>
        <v>39322970.433456093</v>
      </c>
      <c r="E62" s="248">
        <f t="shared" si="4"/>
        <v>58118793.076462135</v>
      </c>
      <c r="F62" s="248">
        <f t="shared" si="4"/>
        <v>51344304.965782188</v>
      </c>
      <c r="G62" s="248">
        <f t="shared" si="4"/>
        <v>63594958.241846211</v>
      </c>
      <c r="H62" s="248">
        <f t="shared" si="4"/>
        <v>64500573.057533503</v>
      </c>
      <c r="I62" s="268">
        <f t="shared" si="4"/>
        <v>66711181.004970886</v>
      </c>
    </row>
    <row r="63" spans="2:11">
      <c r="B63" s="892" t="s">
        <v>2267</v>
      </c>
      <c r="C63" s="896">
        <f>SUM(E9,E24,E28)</f>
        <v>14886079.559028149</v>
      </c>
      <c r="D63" s="248">
        <f t="shared" ref="D63:I63" si="5">SUM(F9,F24,F28)</f>
        <v>15417705.555392269</v>
      </c>
      <c r="E63" s="248">
        <f t="shared" si="5"/>
        <v>16361154.854524625</v>
      </c>
      <c r="F63" s="248">
        <f t="shared" si="5"/>
        <v>16979792.201208528</v>
      </c>
      <c r="G63" s="248">
        <f t="shared" si="5"/>
        <v>15451240.616153196</v>
      </c>
      <c r="H63" s="248">
        <f t="shared" si="5"/>
        <v>14679948.610252166</v>
      </c>
      <c r="I63" s="268">
        <f t="shared" si="5"/>
        <v>12984481.14914272</v>
      </c>
    </row>
    <row r="64" spans="2:11">
      <c r="B64" s="892" t="s">
        <v>782</v>
      </c>
      <c r="C64" s="896">
        <f>SUM(E33:E40)</f>
        <v>76464750.030301511</v>
      </c>
      <c r="D64" s="248">
        <f t="shared" ref="D64:I64" si="6">SUM(F33:F40)</f>
        <v>78758389.813231692</v>
      </c>
      <c r="E64" s="248">
        <f t="shared" si="6"/>
        <v>77426420.934875056</v>
      </c>
      <c r="F64" s="248">
        <f t="shared" si="6"/>
        <v>82200877.30370383</v>
      </c>
      <c r="G64" s="248">
        <f t="shared" si="6"/>
        <v>77792564.635626316</v>
      </c>
      <c r="H64" s="248">
        <f t="shared" si="6"/>
        <v>76919061.384074286</v>
      </c>
      <c r="I64" s="268">
        <f t="shared" si="6"/>
        <v>73940755.826632604</v>
      </c>
    </row>
    <row r="65" spans="2:9">
      <c r="B65" s="892" t="s">
        <v>2249</v>
      </c>
      <c r="C65" s="896">
        <f>E49</f>
        <v>10072884.603794655</v>
      </c>
      <c r="D65" s="248">
        <f t="shared" ref="D65:I65" si="7">F49</f>
        <v>9933288.0911309812</v>
      </c>
      <c r="E65" s="248">
        <f t="shared" si="7"/>
        <v>9692616.9059695303</v>
      </c>
      <c r="F65" s="248">
        <f t="shared" si="7"/>
        <v>9326316.1202911213</v>
      </c>
      <c r="G65" s="248">
        <f t="shared" si="7"/>
        <v>8987619.2438628431</v>
      </c>
      <c r="H65" s="248">
        <f t="shared" si="7"/>
        <v>10186155.057457197</v>
      </c>
      <c r="I65" s="268">
        <f t="shared" si="7"/>
        <v>11847231.803672438</v>
      </c>
    </row>
    <row r="66" spans="2:9">
      <c r="B66" s="893" t="s">
        <v>2077</v>
      </c>
      <c r="C66" s="65">
        <f>E56</f>
        <v>311391.62863413378</v>
      </c>
      <c r="D66" s="708">
        <f t="shared" ref="D66:I66" si="8">F56</f>
        <v>332726.53831285721</v>
      </c>
      <c r="E66" s="708">
        <f t="shared" si="8"/>
        <v>283564.66394065536</v>
      </c>
      <c r="F66" s="708">
        <f t="shared" si="8"/>
        <v>285162.71701896453</v>
      </c>
      <c r="G66" s="708">
        <f t="shared" si="8"/>
        <v>291486.06098917418</v>
      </c>
      <c r="H66" s="708">
        <f t="shared" si="8"/>
        <v>290993.94020264794</v>
      </c>
      <c r="I66" s="534">
        <f t="shared" si="8"/>
        <v>300883.76297652099</v>
      </c>
    </row>
    <row r="67" spans="2:9">
      <c r="B67" s="542" t="s">
        <v>50</v>
      </c>
      <c r="C67" s="889">
        <f>SUM(C60:C64)</f>
        <v>314598981.71333039</v>
      </c>
      <c r="D67" s="889">
        <f t="shared" ref="D67:I67" si="9">SUM(D60:D64)</f>
        <v>338452329.92606533</v>
      </c>
      <c r="E67" s="889">
        <f t="shared" si="9"/>
        <v>388444179.64298409</v>
      </c>
      <c r="F67" s="889">
        <f t="shared" si="9"/>
        <v>400296125.01423711</v>
      </c>
      <c r="G67" s="889">
        <f t="shared" si="9"/>
        <v>408128902.38028783</v>
      </c>
      <c r="H67" s="889">
        <f t="shared" si="9"/>
        <v>387245362.99828112</v>
      </c>
      <c r="I67" s="890">
        <f t="shared" si="9"/>
        <v>366426977.29220891</v>
      </c>
    </row>
  </sheetData>
  <pageMargins left="0.7" right="0.7" top="0.75" bottom="0.75" header="0.3" footer="0.3"/>
  <pageSetup orientation="portrait" horizontalDpi="4294967293" verticalDpi="0" r:id="rId1"/>
  <drawing r:id="rId2"/>
</worksheet>
</file>

<file path=xl/worksheets/sheet10.xml><?xml version="1.0" encoding="utf-8"?>
<worksheet xmlns="http://schemas.openxmlformats.org/spreadsheetml/2006/main" xmlns:r="http://schemas.openxmlformats.org/officeDocument/2006/relationships">
  <dimension ref="A1:AW116"/>
  <sheetViews>
    <sheetView topLeftCell="A4" workbookViewId="0"/>
  </sheetViews>
  <sheetFormatPr defaultRowHeight="15"/>
  <cols>
    <col min="1" max="1" width="18.85546875" style="33" customWidth="1"/>
    <col min="2" max="2" width="16.28515625" style="646" bestFit="1" customWidth="1"/>
    <col min="3" max="4" width="18" style="519" bestFit="1" customWidth="1"/>
    <col min="5" max="5" width="18" style="33" bestFit="1" customWidth="1"/>
    <col min="6" max="6" width="16.85546875" style="33" bestFit="1" customWidth="1"/>
    <col min="7" max="7" width="19.28515625" style="519" bestFit="1" customWidth="1"/>
    <col min="8" max="9" width="16.85546875" style="33" bestFit="1" customWidth="1"/>
    <col min="10" max="13" width="18" style="33" bestFit="1" customWidth="1"/>
    <col min="14" max="14" width="19" style="33" bestFit="1" customWidth="1"/>
    <col min="15" max="16" width="15.28515625" style="33" bestFit="1" customWidth="1"/>
    <col min="17" max="20" width="18" style="33" bestFit="1" customWidth="1"/>
    <col min="21" max="25" width="16.85546875" style="33" bestFit="1" customWidth="1"/>
    <col min="26" max="28" width="18" style="33" bestFit="1" customWidth="1"/>
    <col min="29" max="29" width="19" style="33" bestFit="1" customWidth="1"/>
    <col min="30" max="31" width="14.28515625" style="33" bestFit="1" customWidth="1"/>
    <col min="32" max="35" width="18" style="33" bestFit="1" customWidth="1"/>
    <col min="36" max="41" width="16.85546875" style="33" bestFit="1" customWidth="1"/>
    <col min="42" max="43" width="18" style="33" bestFit="1" customWidth="1"/>
    <col min="44" max="44" width="19" style="33" bestFit="1" customWidth="1"/>
    <col min="45" max="46" width="15.28515625" style="33" bestFit="1" customWidth="1"/>
    <col min="47" max="58" width="18" style="33" bestFit="1" customWidth="1"/>
    <col min="59" max="59" width="19" style="33" bestFit="1" customWidth="1"/>
    <col min="60" max="16384" width="9.140625" style="33"/>
  </cols>
  <sheetData>
    <row r="1" spans="1:7" s="707" customFormat="1">
      <c r="A1" s="518" t="s">
        <v>2250</v>
      </c>
      <c r="B1" s="898"/>
      <c r="C1" s="741"/>
      <c r="D1" s="741"/>
      <c r="G1" s="741"/>
    </row>
    <row r="2" spans="1:7" s="645" customFormat="1" ht="75">
      <c r="A2" s="643"/>
      <c r="B2" s="644" t="s">
        <v>2078</v>
      </c>
      <c r="C2" s="644" t="s">
        <v>2079</v>
      </c>
      <c r="D2" s="645" t="s">
        <v>2080</v>
      </c>
      <c r="F2" s="644" t="s">
        <v>2081</v>
      </c>
    </row>
    <row r="3" spans="1:7" s="645" customFormat="1">
      <c r="A3" s="643">
        <v>38718</v>
      </c>
      <c r="B3" s="644"/>
      <c r="C3" s="644"/>
      <c r="F3" s="644">
        <v>13169826</v>
      </c>
    </row>
    <row r="4" spans="1:7" s="645" customFormat="1">
      <c r="A4" s="643">
        <v>38749</v>
      </c>
      <c r="B4" s="644"/>
      <c r="C4" s="644"/>
      <c r="F4" s="644">
        <v>16631785</v>
      </c>
    </row>
    <row r="5" spans="1:7" s="645" customFormat="1">
      <c r="A5" s="643">
        <v>38777</v>
      </c>
      <c r="B5" s="644"/>
      <c r="C5" s="644"/>
      <c r="F5" s="644">
        <v>13789487</v>
      </c>
    </row>
    <row r="6" spans="1:7" s="645" customFormat="1">
      <c r="A6" s="643">
        <v>38808</v>
      </c>
      <c r="B6" s="644"/>
      <c r="C6" s="644"/>
      <c r="F6" s="644">
        <v>15238467</v>
      </c>
    </row>
    <row r="7" spans="1:7" s="645" customFormat="1">
      <c r="A7" s="643">
        <v>38838</v>
      </c>
      <c r="B7" s="644"/>
      <c r="C7" s="644"/>
      <c r="F7" s="644">
        <v>15805137</v>
      </c>
    </row>
    <row r="8" spans="1:7" s="645" customFormat="1">
      <c r="A8" s="643">
        <v>38869</v>
      </c>
      <c r="B8" s="644"/>
      <c r="C8" s="644"/>
      <c r="F8" s="644">
        <v>14670717</v>
      </c>
    </row>
    <row r="9" spans="1:7">
      <c r="A9" s="646">
        <v>38899</v>
      </c>
      <c r="B9" s="519"/>
      <c r="D9" s="33"/>
      <c r="F9" s="519">
        <v>15693941</v>
      </c>
      <c r="G9" s="33"/>
    </row>
    <row r="10" spans="1:7">
      <c r="A10" s="646">
        <v>38930</v>
      </c>
      <c r="B10" s="519"/>
      <c r="D10" s="33"/>
      <c r="F10" s="519">
        <v>19067664</v>
      </c>
      <c r="G10" s="33"/>
    </row>
    <row r="11" spans="1:7">
      <c r="A11" s="646">
        <v>38961</v>
      </c>
      <c r="B11" s="519"/>
      <c r="D11" s="33"/>
      <c r="F11" s="519">
        <v>18384503</v>
      </c>
      <c r="G11" s="33"/>
    </row>
    <row r="12" spans="1:7">
      <c r="A12" s="646">
        <v>38991</v>
      </c>
      <c r="B12" s="519"/>
      <c r="D12" s="33"/>
      <c r="F12" s="519">
        <v>16690056</v>
      </c>
      <c r="G12" s="33"/>
    </row>
    <row r="13" spans="1:7">
      <c r="A13" s="646">
        <v>39022</v>
      </c>
      <c r="B13" s="519"/>
      <c r="D13" s="33"/>
      <c r="F13" s="519">
        <v>17243100</v>
      </c>
      <c r="G13" s="33"/>
    </row>
    <row r="14" spans="1:7">
      <c r="A14" s="646">
        <v>39052</v>
      </c>
      <c r="B14" s="519"/>
      <c r="D14" s="33"/>
      <c r="F14" s="533">
        <v>14666199</v>
      </c>
      <c r="G14" s="33"/>
    </row>
    <row r="15" spans="1:7" s="645" customFormat="1">
      <c r="A15" s="643"/>
      <c r="B15" s="644"/>
      <c r="C15" s="644"/>
      <c r="F15" s="644">
        <f>SUM(F3:F14)</f>
        <v>191050882</v>
      </c>
    </row>
    <row r="16" spans="1:7" s="645" customFormat="1">
      <c r="A16" s="643"/>
      <c r="B16" s="644"/>
      <c r="C16" s="644"/>
      <c r="F16" s="644"/>
    </row>
    <row r="17" spans="1:7">
      <c r="A17" s="646">
        <v>39083</v>
      </c>
      <c r="B17" s="519"/>
      <c r="D17" s="33"/>
      <c r="F17" s="519">
        <v>13091813</v>
      </c>
      <c r="G17" s="33"/>
    </row>
    <row r="18" spans="1:7">
      <c r="A18" s="646">
        <v>39114</v>
      </c>
      <c r="B18" s="519"/>
      <c r="D18" s="33"/>
      <c r="F18" s="519">
        <v>17235366</v>
      </c>
      <c r="G18" s="33"/>
    </row>
    <row r="19" spans="1:7">
      <c r="A19" s="646">
        <v>39142</v>
      </c>
      <c r="B19" s="519"/>
      <c r="D19" s="33"/>
      <c r="F19" s="519">
        <v>15150233</v>
      </c>
      <c r="G19" s="33"/>
    </row>
    <row r="20" spans="1:7">
      <c r="A20" s="646">
        <v>39173</v>
      </c>
      <c r="B20" s="519"/>
      <c r="D20" s="33"/>
      <c r="F20" s="519">
        <v>21411591</v>
      </c>
      <c r="G20" s="33"/>
    </row>
    <row r="21" spans="1:7">
      <c r="A21" s="646">
        <v>39203</v>
      </c>
      <c r="B21" s="519"/>
      <c r="D21" s="33"/>
      <c r="F21" s="519">
        <v>15328082</v>
      </c>
      <c r="G21" s="33"/>
    </row>
    <row r="22" spans="1:7">
      <c r="A22" s="646">
        <v>39234</v>
      </c>
      <c r="B22" s="519"/>
      <c r="D22" s="33"/>
      <c r="F22" s="519">
        <v>13402163</v>
      </c>
      <c r="G22" s="33"/>
    </row>
    <row r="23" spans="1:7">
      <c r="A23" s="646">
        <v>39264</v>
      </c>
      <c r="B23" s="519"/>
      <c r="D23" s="33"/>
      <c r="F23" s="519">
        <v>17873207</v>
      </c>
      <c r="G23" s="33"/>
    </row>
    <row r="24" spans="1:7">
      <c r="A24" s="646">
        <v>39295</v>
      </c>
      <c r="B24" s="519"/>
      <c r="D24" s="33"/>
      <c r="F24" s="519">
        <v>16863713</v>
      </c>
      <c r="G24" s="33"/>
    </row>
    <row r="25" spans="1:7">
      <c r="A25" s="646">
        <v>39326</v>
      </c>
      <c r="B25" s="519"/>
      <c r="D25" s="33"/>
      <c r="F25" s="519">
        <v>21196658</v>
      </c>
      <c r="G25" s="33"/>
    </row>
    <row r="26" spans="1:7">
      <c r="A26" s="646">
        <v>39356</v>
      </c>
      <c r="B26" s="519"/>
      <c r="D26" s="33"/>
      <c r="F26" s="519">
        <v>17732203</v>
      </c>
      <c r="G26" s="33"/>
    </row>
    <row r="27" spans="1:7">
      <c r="A27" s="646">
        <v>39387</v>
      </c>
      <c r="B27" s="519"/>
      <c r="D27" s="33"/>
      <c r="F27" s="519">
        <v>16775913</v>
      </c>
      <c r="G27" s="33"/>
    </row>
    <row r="28" spans="1:7">
      <c r="A28" s="646">
        <v>39417</v>
      </c>
      <c r="B28" s="519"/>
      <c r="D28" s="33"/>
      <c r="F28" s="533">
        <v>16745254</v>
      </c>
      <c r="G28" s="33"/>
    </row>
    <row r="29" spans="1:7">
      <c r="A29" s="646"/>
      <c r="B29" s="519"/>
      <c r="D29" s="33"/>
      <c r="F29" s="519">
        <f>SUM(F17:F28)</f>
        <v>202806196</v>
      </c>
      <c r="G29" s="33"/>
    </row>
    <row r="30" spans="1:7">
      <c r="A30" s="646"/>
      <c r="B30" s="519"/>
      <c r="D30" s="33"/>
      <c r="F30" s="519"/>
      <c r="G30" s="33"/>
    </row>
    <row r="31" spans="1:7">
      <c r="A31" s="646">
        <v>39448</v>
      </c>
      <c r="B31" s="519"/>
      <c r="D31" s="33"/>
      <c r="F31" s="519">
        <v>14344077</v>
      </c>
      <c r="G31" s="33"/>
    </row>
    <row r="32" spans="1:7">
      <c r="A32" s="646">
        <v>39479</v>
      </c>
      <c r="B32" s="519"/>
      <c r="D32" s="33"/>
      <c r="F32" s="519">
        <v>16000093</v>
      </c>
      <c r="G32" s="33"/>
    </row>
    <row r="33" spans="1:7">
      <c r="A33" s="646">
        <v>39508</v>
      </c>
      <c r="B33" s="519"/>
      <c r="D33" s="33"/>
      <c r="F33" s="519">
        <v>15630021</v>
      </c>
      <c r="G33" s="33"/>
    </row>
    <row r="34" spans="1:7">
      <c r="A34" s="646">
        <v>39539</v>
      </c>
      <c r="B34" s="519"/>
      <c r="D34" s="33"/>
      <c r="F34" s="519">
        <v>17474051</v>
      </c>
      <c r="G34" s="33"/>
    </row>
    <row r="35" spans="1:7">
      <c r="A35" s="646">
        <v>39569</v>
      </c>
      <c r="B35" s="519"/>
      <c r="D35" s="33"/>
      <c r="F35" s="519">
        <v>16472149</v>
      </c>
      <c r="G35" s="33"/>
    </row>
    <row r="36" spans="1:7">
      <c r="A36" s="646">
        <v>39600</v>
      </c>
      <c r="B36" s="519"/>
      <c r="D36" s="33"/>
      <c r="F36" s="519">
        <v>20233948</v>
      </c>
      <c r="G36" s="33"/>
    </row>
    <row r="37" spans="1:7">
      <c r="A37" s="646">
        <v>39630</v>
      </c>
      <c r="B37" s="519"/>
      <c r="D37" s="33"/>
      <c r="F37" s="519">
        <v>15170202</v>
      </c>
      <c r="G37" s="33"/>
    </row>
    <row r="38" spans="1:7">
      <c r="A38" s="646">
        <v>39661</v>
      </c>
      <c r="B38" s="519"/>
      <c r="D38" s="33"/>
      <c r="F38" s="519">
        <v>16473389</v>
      </c>
      <c r="G38" s="33"/>
    </row>
    <row r="39" spans="1:7">
      <c r="A39" s="646">
        <v>39692</v>
      </c>
      <c r="B39" s="519"/>
      <c r="D39" s="33"/>
      <c r="F39" s="519">
        <v>21339832</v>
      </c>
      <c r="G39" s="33"/>
    </row>
    <row r="40" spans="1:7">
      <c r="A40" s="646">
        <v>39722</v>
      </c>
      <c r="B40" s="519"/>
      <c r="D40" s="33"/>
      <c r="F40" s="519">
        <v>17571207</v>
      </c>
      <c r="G40" s="33"/>
    </row>
    <row r="41" spans="1:7">
      <c r="A41" s="646">
        <v>39753</v>
      </c>
      <c r="B41" s="519"/>
      <c r="D41" s="33"/>
      <c r="F41" s="519">
        <v>16562800</v>
      </c>
      <c r="G41" s="33"/>
    </row>
    <row r="42" spans="1:7">
      <c r="A42" s="646">
        <v>39783</v>
      </c>
      <c r="B42" s="519"/>
      <c r="D42" s="33"/>
      <c r="F42" s="533">
        <v>17936152</v>
      </c>
      <c r="G42" s="33"/>
    </row>
    <row r="43" spans="1:7">
      <c r="A43" s="646"/>
      <c r="B43" s="519"/>
      <c r="D43" s="33"/>
      <c r="F43" s="519">
        <f>SUM(F31:F42)</f>
        <v>205207921</v>
      </c>
      <c r="G43" s="33"/>
    </row>
    <row r="44" spans="1:7">
      <c r="A44" s="646"/>
      <c r="B44" s="519"/>
      <c r="D44" s="33"/>
      <c r="F44" s="519"/>
      <c r="G44" s="33"/>
    </row>
    <row r="45" spans="1:7">
      <c r="A45" s="647">
        <v>39814</v>
      </c>
      <c r="B45" s="648">
        <v>20845084618.053043</v>
      </c>
      <c r="C45" s="648">
        <v>2430000000</v>
      </c>
      <c r="D45" s="248">
        <f>B45+C45</f>
        <v>23275084618.053043</v>
      </c>
      <c r="F45" s="648">
        <v>14285826</v>
      </c>
      <c r="G45" s="33"/>
    </row>
    <row r="46" spans="1:7">
      <c r="A46" s="647">
        <v>39845</v>
      </c>
      <c r="B46" s="648">
        <v>19703569805.853462</v>
      </c>
      <c r="C46" s="648">
        <v>753000000</v>
      </c>
      <c r="D46" s="248">
        <f t="shared" ref="D46:D56" si="0">B46+C46</f>
        <v>20456569805.853462</v>
      </c>
      <c r="F46" s="648">
        <v>19391692</v>
      </c>
      <c r="G46" s="33"/>
    </row>
    <row r="47" spans="1:7">
      <c r="A47" s="647">
        <v>39873</v>
      </c>
      <c r="B47" s="648">
        <v>17860926777.189747</v>
      </c>
      <c r="C47" s="648">
        <v>9891000000</v>
      </c>
      <c r="D47" s="248">
        <f t="shared" si="0"/>
        <v>27751926777.189747</v>
      </c>
      <c r="F47" s="648">
        <v>14182109</v>
      </c>
      <c r="G47" s="33"/>
    </row>
    <row r="48" spans="1:7">
      <c r="A48" s="647">
        <v>39904</v>
      </c>
      <c r="B48" s="648">
        <v>12371901857.938843</v>
      </c>
      <c r="C48" s="648">
        <v>25111000000</v>
      </c>
      <c r="D48" s="248">
        <f t="shared" si="0"/>
        <v>37482901857.938843</v>
      </c>
      <c r="F48" s="648">
        <v>17502596</v>
      </c>
      <c r="G48" s="33"/>
    </row>
    <row r="49" spans="1:7">
      <c r="A49" s="647">
        <v>39934</v>
      </c>
      <c r="B49" s="648">
        <v>6960196544.7744665</v>
      </c>
      <c r="C49" s="648">
        <v>1319000000</v>
      </c>
      <c r="D49" s="248">
        <f t="shared" si="0"/>
        <v>8279196544.7744665</v>
      </c>
      <c r="F49" s="648">
        <v>18144714</v>
      </c>
      <c r="G49" s="33"/>
    </row>
    <row r="50" spans="1:7">
      <c r="A50" s="647">
        <v>39965</v>
      </c>
      <c r="B50" s="648">
        <v>7676068200.5317507</v>
      </c>
      <c r="C50" s="648">
        <v>100000</v>
      </c>
      <c r="D50" s="248">
        <f t="shared" si="0"/>
        <v>7676168200.5317507</v>
      </c>
      <c r="F50" s="648">
        <v>17536944</v>
      </c>
      <c r="G50" s="33"/>
    </row>
    <row r="51" spans="1:7">
      <c r="A51" s="647">
        <v>39995</v>
      </c>
      <c r="B51" s="648">
        <v>4960100000</v>
      </c>
      <c r="C51" s="648">
        <v>21000000</v>
      </c>
      <c r="D51" s="248">
        <f t="shared" si="0"/>
        <v>4981100000</v>
      </c>
      <c r="F51" s="648">
        <v>15211184</v>
      </c>
      <c r="G51" s="33"/>
    </row>
    <row r="52" spans="1:7">
      <c r="A52" s="647">
        <v>40026</v>
      </c>
      <c r="B52" s="648">
        <v>4192500000</v>
      </c>
      <c r="C52" s="648">
        <v>0</v>
      </c>
      <c r="D52" s="248">
        <f t="shared" si="0"/>
        <v>4192500000</v>
      </c>
      <c r="F52" s="648">
        <v>16634689</v>
      </c>
      <c r="G52" s="33"/>
    </row>
    <row r="53" spans="1:7">
      <c r="A53" s="647">
        <v>40057</v>
      </c>
      <c r="B53" s="648">
        <v>6544900000</v>
      </c>
      <c r="C53" s="648">
        <v>23231000000</v>
      </c>
      <c r="D53" s="248">
        <f t="shared" si="0"/>
        <v>29775900000</v>
      </c>
      <c r="F53" s="648">
        <v>19013241</v>
      </c>
      <c r="G53" s="33"/>
    </row>
    <row r="54" spans="1:7">
      <c r="A54" s="647">
        <v>40087</v>
      </c>
      <c r="B54" s="648">
        <v>10171900000</v>
      </c>
      <c r="C54" s="648">
        <v>10840000000</v>
      </c>
      <c r="D54" s="248">
        <f t="shared" si="0"/>
        <v>21011900000</v>
      </c>
      <c r="F54" s="648">
        <v>16985222</v>
      </c>
      <c r="G54" s="33"/>
    </row>
    <row r="55" spans="1:7">
      <c r="A55" s="647">
        <v>40118</v>
      </c>
      <c r="B55" s="648">
        <v>14262600000</v>
      </c>
      <c r="C55" s="648">
        <v>2460000000</v>
      </c>
      <c r="D55" s="248">
        <f t="shared" si="0"/>
        <v>16722600000</v>
      </c>
      <c r="F55" s="648">
        <v>17243357</v>
      </c>
      <c r="G55" s="33"/>
    </row>
    <row r="56" spans="1:7" s="651" customFormat="1">
      <c r="A56" s="647">
        <v>40148</v>
      </c>
      <c r="B56" s="649">
        <v>21066600000</v>
      </c>
      <c r="C56" s="649">
        <v>438000000</v>
      </c>
      <c r="D56" s="650">
        <f t="shared" si="0"/>
        <v>21504600000</v>
      </c>
      <c r="F56" s="649">
        <v>14780498</v>
      </c>
    </row>
    <row r="57" spans="1:7" s="651" customFormat="1">
      <c r="A57" s="647"/>
      <c r="B57" s="648">
        <f t="shared" ref="B57:D57" si="1">SUM(B45:B56)</f>
        <v>146616347804.34131</v>
      </c>
      <c r="C57" s="648">
        <f t="shared" si="1"/>
        <v>76494100000</v>
      </c>
      <c r="D57" s="652">
        <f t="shared" si="1"/>
        <v>223110447804.34131</v>
      </c>
      <c r="F57" s="648">
        <f t="shared" ref="F57" si="2">SUM(F45:F56)</f>
        <v>200912072</v>
      </c>
    </row>
    <row r="58" spans="1:7" s="651" customFormat="1">
      <c r="A58" s="647"/>
      <c r="B58" s="648"/>
      <c r="C58" s="648"/>
      <c r="F58" s="648"/>
    </row>
    <row r="59" spans="1:7" s="651" customFormat="1">
      <c r="A59" s="647"/>
      <c r="B59" s="648"/>
      <c r="C59" s="648"/>
      <c r="F59" s="648"/>
    </row>
    <row r="60" spans="1:7" s="651" customFormat="1">
      <c r="A60" s="647">
        <v>40179</v>
      </c>
      <c r="B60" s="648">
        <v>21763300000</v>
      </c>
      <c r="C60" s="648">
        <v>468000000</v>
      </c>
      <c r="D60" s="652">
        <f t="shared" ref="D60:D101" si="3">B60+C60</f>
        <v>22231300000</v>
      </c>
      <c r="F60" s="648">
        <v>15057436</v>
      </c>
    </row>
    <row r="61" spans="1:7" s="651" customFormat="1">
      <c r="A61" s="647">
        <v>40210</v>
      </c>
      <c r="B61" s="648">
        <v>20837100000</v>
      </c>
      <c r="C61" s="648">
        <v>832000000</v>
      </c>
      <c r="D61" s="652">
        <f t="shared" si="3"/>
        <v>21669100000</v>
      </c>
      <c r="F61" s="648">
        <v>16902585</v>
      </c>
    </row>
    <row r="62" spans="1:7" s="651" customFormat="1">
      <c r="A62" s="647">
        <v>40238</v>
      </c>
      <c r="B62" s="648">
        <v>16708400000</v>
      </c>
      <c r="C62" s="648">
        <v>473000000</v>
      </c>
      <c r="D62" s="652">
        <f t="shared" si="3"/>
        <v>17181400000</v>
      </c>
      <c r="F62" s="648">
        <v>14546495</v>
      </c>
    </row>
    <row r="63" spans="1:7" s="651" customFormat="1">
      <c r="A63" s="647">
        <v>40269</v>
      </c>
      <c r="B63" s="648">
        <v>12595800000</v>
      </c>
      <c r="C63" s="648">
        <v>15000000</v>
      </c>
      <c r="D63" s="652">
        <f t="shared" si="3"/>
        <v>12610800000</v>
      </c>
      <c r="F63" s="648">
        <v>16626608</v>
      </c>
    </row>
    <row r="64" spans="1:7" s="651" customFormat="1">
      <c r="A64" s="647">
        <v>40299</v>
      </c>
      <c r="B64" s="648">
        <v>7040200000</v>
      </c>
      <c r="C64" s="648">
        <v>37000000</v>
      </c>
      <c r="D64" s="652">
        <f t="shared" si="3"/>
        <v>7077200000</v>
      </c>
      <c r="F64" s="648">
        <v>17544129</v>
      </c>
    </row>
    <row r="65" spans="1:7" s="651" customFormat="1">
      <c r="A65" s="647">
        <v>40330</v>
      </c>
      <c r="B65" s="648">
        <v>4917800000</v>
      </c>
      <c r="C65" s="648">
        <v>296000000</v>
      </c>
      <c r="D65" s="652">
        <f t="shared" si="3"/>
        <v>5213800000</v>
      </c>
      <c r="F65" s="648">
        <v>24293815</v>
      </c>
    </row>
    <row r="66" spans="1:7" s="651" customFormat="1">
      <c r="A66" s="647">
        <v>40360</v>
      </c>
      <c r="B66" s="519">
        <v>4896300000</v>
      </c>
      <c r="C66" s="519">
        <v>7000000</v>
      </c>
      <c r="D66" s="652">
        <f t="shared" si="3"/>
        <v>4903300000</v>
      </c>
      <c r="F66" s="519">
        <v>16409269</v>
      </c>
    </row>
    <row r="67" spans="1:7" s="651" customFormat="1">
      <c r="A67" s="647">
        <v>40391</v>
      </c>
      <c r="B67" s="519">
        <v>4458800000</v>
      </c>
      <c r="C67" s="519">
        <v>126000000</v>
      </c>
      <c r="D67" s="652">
        <f t="shared" si="3"/>
        <v>4584800000</v>
      </c>
      <c r="F67" s="519">
        <v>18338804</v>
      </c>
    </row>
    <row r="68" spans="1:7" s="651" customFormat="1">
      <c r="A68" s="647">
        <v>40422</v>
      </c>
      <c r="B68" s="519">
        <v>5623900000</v>
      </c>
      <c r="C68" s="519">
        <v>91000000</v>
      </c>
      <c r="D68" s="652">
        <f t="shared" si="3"/>
        <v>5714900000</v>
      </c>
      <c r="F68" s="519">
        <v>18949849</v>
      </c>
    </row>
    <row r="69" spans="1:7" s="651" customFormat="1">
      <c r="A69" s="647">
        <v>40452</v>
      </c>
      <c r="B69" s="519">
        <v>8566000000</v>
      </c>
      <c r="C69" s="519">
        <v>34510000000</v>
      </c>
      <c r="D69" s="652">
        <f t="shared" si="3"/>
        <v>43076000000</v>
      </c>
      <c r="F69" s="519">
        <v>17205786</v>
      </c>
    </row>
    <row r="70" spans="1:7" s="651" customFormat="1">
      <c r="A70" s="647">
        <v>40483</v>
      </c>
      <c r="B70" s="519">
        <v>14257100000</v>
      </c>
      <c r="C70" s="519">
        <v>7986000000</v>
      </c>
      <c r="D70" s="652">
        <f t="shared" si="3"/>
        <v>22243100000</v>
      </c>
      <c r="F70" s="519">
        <v>18268893</v>
      </c>
    </row>
    <row r="71" spans="1:7" s="651" customFormat="1">
      <c r="A71" s="647">
        <v>40513</v>
      </c>
      <c r="B71" s="649">
        <v>23713900000</v>
      </c>
      <c r="C71" s="649">
        <v>1844000000</v>
      </c>
      <c r="D71" s="650">
        <f t="shared" si="3"/>
        <v>25557900000</v>
      </c>
      <c r="F71" s="649">
        <v>13230129</v>
      </c>
    </row>
    <row r="72" spans="1:7">
      <c r="A72" s="647"/>
      <c r="B72" s="648">
        <f t="shared" ref="B72:D72" si="4">SUM(B60:B71)</f>
        <v>145378600000</v>
      </c>
      <c r="C72" s="648">
        <f t="shared" si="4"/>
        <v>46685000000</v>
      </c>
      <c r="D72" s="248">
        <f t="shared" si="4"/>
        <v>192063600000</v>
      </c>
      <c r="F72" s="648">
        <f t="shared" ref="F72" si="5">SUM(F60:F71)</f>
        <v>207373798</v>
      </c>
      <c r="G72" s="33"/>
    </row>
    <row r="73" spans="1:7">
      <c r="A73" s="647"/>
      <c r="B73" s="519"/>
      <c r="D73" s="248"/>
      <c r="F73" s="519"/>
      <c r="G73" s="33"/>
    </row>
    <row r="74" spans="1:7">
      <c r="A74" s="647"/>
      <c r="B74" s="519"/>
      <c r="D74" s="248"/>
      <c r="F74" s="519"/>
      <c r="G74" s="33"/>
    </row>
    <row r="75" spans="1:7">
      <c r="A75" s="646">
        <v>40544</v>
      </c>
      <c r="B75" s="519">
        <v>20289600000</v>
      </c>
      <c r="C75" s="519">
        <v>930000000</v>
      </c>
      <c r="D75" s="248">
        <f t="shared" si="3"/>
        <v>21219600000</v>
      </c>
      <c r="F75" s="519">
        <v>16734588</v>
      </c>
      <c r="G75" s="33"/>
    </row>
    <row r="76" spans="1:7">
      <c r="A76" s="646">
        <v>40575</v>
      </c>
      <c r="B76" s="519">
        <v>16306500000</v>
      </c>
      <c r="C76" s="519">
        <v>5339000000</v>
      </c>
      <c r="D76" s="248">
        <f t="shared" si="3"/>
        <v>21645500000</v>
      </c>
      <c r="F76" s="519">
        <v>15804271</v>
      </c>
      <c r="G76" s="33"/>
    </row>
    <row r="77" spans="1:7">
      <c r="A77" s="646">
        <v>40603</v>
      </c>
      <c r="B77" s="519">
        <v>13449800000</v>
      </c>
      <c r="C77" s="519">
        <v>436000000</v>
      </c>
      <c r="D77" s="248">
        <f t="shared" si="3"/>
        <v>13885800000</v>
      </c>
      <c r="F77" s="519">
        <v>15747972</v>
      </c>
      <c r="G77" s="33"/>
    </row>
    <row r="78" spans="1:7">
      <c r="A78" s="646">
        <v>40634</v>
      </c>
      <c r="B78" s="519">
        <v>11581600000</v>
      </c>
      <c r="C78" s="519">
        <v>23000000</v>
      </c>
      <c r="D78" s="248">
        <f t="shared" si="3"/>
        <v>11604600000</v>
      </c>
      <c r="F78" s="519">
        <v>17844255</v>
      </c>
      <c r="G78" s="33"/>
    </row>
    <row r="79" spans="1:7">
      <c r="A79" s="646">
        <v>40664</v>
      </c>
      <c r="B79" s="519">
        <v>7349600000</v>
      </c>
      <c r="C79" s="519">
        <v>0</v>
      </c>
      <c r="D79" s="248">
        <f t="shared" si="3"/>
        <v>7349600000</v>
      </c>
      <c r="F79" s="519">
        <v>16595714</v>
      </c>
      <c r="G79" s="33"/>
    </row>
    <row r="80" spans="1:7">
      <c r="A80" s="646">
        <v>40695</v>
      </c>
      <c r="B80" s="519">
        <v>3161800000</v>
      </c>
      <c r="C80" s="519">
        <v>19860000</v>
      </c>
      <c r="D80" s="248">
        <f t="shared" si="3"/>
        <v>3181660000</v>
      </c>
      <c r="F80" s="519">
        <v>18899711</v>
      </c>
      <c r="G80" s="33"/>
    </row>
    <row r="81" spans="1:7">
      <c r="A81" s="646">
        <v>40725</v>
      </c>
      <c r="B81" s="519">
        <v>3184555600</v>
      </c>
      <c r="C81" s="519">
        <v>105000000</v>
      </c>
      <c r="D81" s="248">
        <f t="shared" si="3"/>
        <v>3289555600</v>
      </c>
      <c r="F81" s="519">
        <v>17657791</v>
      </c>
      <c r="G81" s="33"/>
    </row>
    <row r="82" spans="1:7">
      <c r="A82" s="646">
        <v>40756</v>
      </c>
      <c r="B82" s="519">
        <v>5345466400</v>
      </c>
      <c r="C82" s="519">
        <v>30000000</v>
      </c>
      <c r="D82" s="248">
        <f t="shared" si="3"/>
        <v>5375466400</v>
      </c>
      <c r="F82" s="519">
        <v>21944345</v>
      </c>
      <c r="G82" s="33"/>
    </row>
    <row r="83" spans="1:7">
      <c r="A83" s="646">
        <v>40787</v>
      </c>
      <c r="B83" s="519">
        <v>7771036600</v>
      </c>
      <c r="C83" s="519">
        <v>38000000</v>
      </c>
      <c r="D83" s="248">
        <f t="shared" si="3"/>
        <v>7809036600</v>
      </c>
      <c r="F83" s="519">
        <v>18694667</v>
      </c>
      <c r="G83" s="33"/>
    </row>
    <row r="84" spans="1:7">
      <c r="A84" s="646">
        <v>40817</v>
      </c>
      <c r="B84" s="519">
        <v>8994203600</v>
      </c>
      <c r="C84" s="519">
        <v>646000000</v>
      </c>
      <c r="D84" s="248">
        <f t="shared" si="3"/>
        <v>9640203600</v>
      </c>
      <c r="F84" s="519">
        <v>16558900</v>
      </c>
      <c r="G84" s="33"/>
    </row>
    <row r="85" spans="1:7">
      <c r="A85" s="646">
        <v>40848</v>
      </c>
      <c r="B85" s="519">
        <v>13829217800</v>
      </c>
      <c r="C85" s="519">
        <v>2591000000</v>
      </c>
      <c r="D85" s="248">
        <f t="shared" si="3"/>
        <v>16420217800</v>
      </c>
      <c r="F85" s="519">
        <v>15922820</v>
      </c>
      <c r="G85" s="33"/>
    </row>
    <row r="86" spans="1:7" s="651" customFormat="1">
      <c r="A86" s="647">
        <v>40878</v>
      </c>
      <c r="B86" s="649">
        <v>15709448400</v>
      </c>
      <c r="C86" s="649">
        <v>271000000</v>
      </c>
      <c r="D86" s="650">
        <f t="shared" si="3"/>
        <v>15980448400</v>
      </c>
      <c r="F86" s="649">
        <v>14895268</v>
      </c>
    </row>
    <row r="87" spans="1:7">
      <c r="A87" s="646"/>
      <c r="B87" s="519">
        <f t="shared" ref="B87:D87" si="6">SUM(B75:B86)</f>
        <v>126972828400</v>
      </c>
      <c r="C87" s="519">
        <f t="shared" si="6"/>
        <v>10428860000</v>
      </c>
      <c r="D87" s="248">
        <f t="shared" si="6"/>
        <v>137401688400</v>
      </c>
      <c r="F87" s="519">
        <f t="shared" ref="F87" si="7">SUM(F75:F86)</f>
        <v>207300302</v>
      </c>
      <c r="G87" s="33"/>
    </row>
    <row r="88" spans="1:7">
      <c r="A88" s="646"/>
      <c r="B88" s="519"/>
      <c r="D88" s="248"/>
      <c r="F88" s="519"/>
      <c r="G88" s="33"/>
    </row>
    <row r="89" spans="1:7">
      <c r="A89" s="646"/>
      <c r="B89" s="519"/>
      <c r="D89" s="248"/>
      <c r="F89" s="519"/>
      <c r="G89" s="33"/>
    </row>
    <row r="90" spans="1:7">
      <c r="A90" s="646">
        <v>40909</v>
      </c>
      <c r="B90" s="519">
        <v>17548256800</v>
      </c>
      <c r="C90" s="519">
        <v>268000000</v>
      </c>
      <c r="D90" s="248">
        <f t="shared" si="3"/>
        <v>17816256800</v>
      </c>
      <c r="F90" s="519">
        <v>16596818</v>
      </c>
      <c r="G90" s="33"/>
    </row>
    <row r="91" spans="1:7">
      <c r="A91" s="646">
        <v>40940</v>
      </c>
      <c r="B91" s="519">
        <v>15585181800</v>
      </c>
      <c r="C91" s="519">
        <v>1312000000</v>
      </c>
      <c r="D91" s="248">
        <f t="shared" si="3"/>
        <v>16897181800</v>
      </c>
      <c r="F91" s="519">
        <v>14426726</v>
      </c>
      <c r="G91" s="33"/>
    </row>
    <row r="92" spans="1:7">
      <c r="A92" s="646">
        <v>40969</v>
      </c>
      <c r="B92" s="519">
        <v>12056179000</v>
      </c>
      <c r="C92" s="519">
        <v>3734000000</v>
      </c>
      <c r="D92" s="248">
        <f t="shared" si="3"/>
        <v>15790179000</v>
      </c>
      <c r="F92" s="519">
        <v>17243240</v>
      </c>
      <c r="G92" s="33"/>
    </row>
    <row r="93" spans="1:7">
      <c r="A93" s="646">
        <v>41000</v>
      </c>
      <c r="B93" s="519">
        <v>8691811000</v>
      </c>
      <c r="C93" s="519">
        <v>16251000000</v>
      </c>
      <c r="D93" s="248">
        <f t="shared" si="3"/>
        <v>24942811000</v>
      </c>
      <c r="F93" s="519">
        <v>17389134</v>
      </c>
      <c r="G93" s="33"/>
    </row>
    <row r="94" spans="1:7">
      <c r="A94" s="646">
        <v>41030</v>
      </c>
      <c r="B94" s="519">
        <v>6492956200</v>
      </c>
      <c r="C94" s="519">
        <v>43738000000</v>
      </c>
      <c r="D94" s="248">
        <f t="shared" si="3"/>
        <v>50230956200</v>
      </c>
      <c r="F94" s="519">
        <v>17296093</v>
      </c>
      <c r="G94" s="33"/>
    </row>
    <row r="95" spans="1:7">
      <c r="A95" s="646">
        <v>41061</v>
      </c>
      <c r="B95" s="519">
        <v>4099533000</v>
      </c>
      <c r="C95" s="519">
        <v>29693000000</v>
      </c>
      <c r="D95" s="248">
        <f t="shared" si="3"/>
        <v>33792533000</v>
      </c>
      <c r="F95" s="519">
        <v>17135993</v>
      </c>
      <c r="G95" s="33"/>
    </row>
    <row r="96" spans="1:7">
      <c r="A96" s="646">
        <v>41091</v>
      </c>
      <c r="B96" s="519">
        <v>4009837600</v>
      </c>
      <c r="C96" s="519">
        <v>20684000000</v>
      </c>
      <c r="D96" s="248">
        <f t="shared" si="3"/>
        <v>24693837600</v>
      </c>
      <c r="F96" s="519">
        <v>18678468</v>
      </c>
      <c r="G96" s="33"/>
    </row>
    <row r="97" spans="1:49">
      <c r="A97" s="646">
        <v>41122</v>
      </c>
      <c r="B97" s="519">
        <v>5368443600</v>
      </c>
      <c r="C97" s="519">
        <v>32202000000</v>
      </c>
      <c r="D97" s="248">
        <f t="shared" si="3"/>
        <v>37570443600</v>
      </c>
      <c r="F97" s="519">
        <v>18627124</v>
      </c>
      <c r="G97" s="33"/>
    </row>
    <row r="98" spans="1:49">
      <c r="A98" s="646">
        <v>41153</v>
      </c>
      <c r="B98" s="519">
        <v>5854759200</v>
      </c>
      <c r="C98" s="519">
        <v>52392000000</v>
      </c>
      <c r="D98" s="248">
        <f t="shared" si="3"/>
        <v>58246759200</v>
      </c>
      <c r="F98" s="519">
        <v>18635999</v>
      </c>
      <c r="G98" s="33"/>
    </row>
    <row r="99" spans="1:49">
      <c r="A99" s="646">
        <v>41183</v>
      </c>
      <c r="B99" s="519">
        <v>9377332600</v>
      </c>
      <c r="C99" s="519">
        <v>32290000000</v>
      </c>
      <c r="D99" s="248">
        <f t="shared" si="3"/>
        <v>41667332600</v>
      </c>
      <c r="F99" s="519">
        <v>17647842</v>
      </c>
      <c r="G99" s="33"/>
    </row>
    <row r="100" spans="1:49">
      <c r="A100" s="646">
        <v>41214</v>
      </c>
      <c r="B100" s="519">
        <v>16950638800</v>
      </c>
      <c r="C100" s="519">
        <v>31167000000</v>
      </c>
      <c r="D100" s="248">
        <f t="shared" si="3"/>
        <v>48117638800</v>
      </c>
      <c r="F100" s="519">
        <v>14398548</v>
      </c>
      <c r="G100" s="33"/>
    </row>
    <row r="101" spans="1:49">
      <c r="A101" s="646">
        <v>41244</v>
      </c>
      <c r="B101" s="533">
        <v>17488178800</v>
      </c>
      <c r="C101" s="533">
        <v>18506000000</v>
      </c>
      <c r="D101" s="272">
        <f t="shared" si="3"/>
        <v>35994178800</v>
      </c>
      <c r="F101" s="533">
        <v>16243781</v>
      </c>
      <c r="G101" s="33"/>
    </row>
    <row r="102" spans="1:49">
      <c r="A102" s="646"/>
      <c r="B102" s="519">
        <f t="shared" ref="B102:D102" si="8">SUM(B90:B101)</f>
        <v>123523108400</v>
      </c>
      <c r="C102" s="519">
        <f t="shared" si="8"/>
        <v>282237000000</v>
      </c>
      <c r="D102" s="248">
        <f t="shared" si="8"/>
        <v>405760108400</v>
      </c>
      <c r="F102" s="519">
        <f t="shared" ref="F102" si="9">SUM(F90:F101)</f>
        <v>204319766</v>
      </c>
      <c r="G102" s="33"/>
    </row>
    <row r="103" spans="1:49">
      <c r="A103" s="646"/>
      <c r="B103" s="519"/>
      <c r="D103" s="33"/>
      <c r="F103" s="519"/>
      <c r="G103" s="33"/>
    </row>
    <row r="104" spans="1:49">
      <c r="A104" s="646"/>
      <c r="B104" s="519"/>
      <c r="D104" s="33"/>
      <c r="F104" s="519"/>
      <c r="G104" s="33"/>
    </row>
    <row r="105" spans="1:49">
      <c r="A105" s="312" t="s">
        <v>2082</v>
      </c>
      <c r="B105" s="646">
        <v>39814</v>
      </c>
      <c r="C105" s="660">
        <v>39845</v>
      </c>
      <c r="D105" s="660">
        <v>39873</v>
      </c>
      <c r="E105" s="646">
        <v>39904</v>
      </c>
      <c r="F105" s="646">
        <v>39934</v>
      </c>
      <c r="G105" s="660">
        <v>39965</v>
      </c>
      <c r="H105" s="646">
        <v>39995</v>
      </c>
      <c r="I105" s="646">
        <v>40026</v>
      </c>
      <c r="J105" s="646">
        <v>40057</v>
      </c>
      <c r="K105" s="646">
        <v>40087</v>
      </c>
      <c r="L105" s="646">
        <v>40118</v>
      </c>
      <c r="M105" s="646">
        <v>40148</v>
      </c>
      <c r="N105" s="646">
        <v>40179</v>
      </c>
      <c r="O105" s="646">
        <v>40210</v>
      </c>
      <c r="P105" s="646">
        <v>40238</v>
      </c>
      <c r="Q105" s="646">
        <v>40269</v>
      </c>
      <c r="R105" s="646">
        <v>40299</v>
      </c>
      <c r="S105" s="646">
        <v>40330</v>
      </c>
      <c r="T105" s="646">
        <v>40360</v>
      </c>
      <c r="U105" s="646">
        <v>40391</v>
      </c>
      <c r="V105" s="646">
        <v>40422</v>
      </c>
      <c r="W105" s="646">
        <v>40452</v>
      </c>
      <c r="X105" s="646">
        <v>40483</v>
      </c>
      <c r="Y105" s="646">
        <v>40513</v>
      </c>
      <c r="Z105" s="646">
        <v>40544</v>
      </c>
      <c r="AA105" s="646">
        <v>40575</v>
      </c>
      <c r="AB105" s="646">
        <v>40603</v>
      </c>
      <c r="AC105" s="646">
        <v>40634</v>
      </c>
      <c r="AD105" s="646">
        <v>40664</v>
      </c>
      <c r="AE105" s="646">
        <v>40695</v>
      </c>
      <c r="AF105" s="646">
        <v>40725</v>
      </c>
      <c r="AG105" s="646">
        <v>40756</v>
      </c>
      <c r="AH105" s="646">
        <v>40787</v>
      </c>
      <c r="AI105" s="646">
        <v>40817</v>
      </c>
      <c r="AJ105" s="646">
        <v>40848</v>
      </c>
      <c r="AK105" s="646">
        <v>40878</v>
      </c>
      <c r="AL105" s="646">
        <v>40909</v>
      </c>
      <c r="AM105" s="646">
        <v>40940</v>
      </c>
      <c r="AN105" s="646">
        <v>40969</v>
      </c>
      <c r="AO105" s="646">
        <v>41000</v>
      </c>
      <c r="AP105" s="646">
        <v>41030</v>
      </c>
      <c r="AQ105" s="646">
        <v>41061</v>
      </c>
      <c r="AR105" s="646">
        <v>41091</v>
      </c>
      <c r="AS105" s="646">
        <v>41122</v>
      </c>
      <c r="AT105" s="646">
        <v>41153</v>
      </c>
      <c r="AU105" s="646">
        <v>41183</v>
      </c>
      <c r="AV105" s="646">
        <v>41214</v>
      </c>
      <c r="AW105" s="646">
        <v>41244</v>
      </c>
    </row>
    <row r="106" spans="1:49">
      <c r="A106" s="33" t="s">
        <v>2083</v>
      </c>
      <c r="B106" s="519">
        <v>20845084618.053043</v>
      </c>
      <c r="C106" s="519">
        <v>19703569805.853462</v>
      </c>
      <c r="D106" s="519">
        <v>17860926777.189747</v>
      </c>
      <c r="E106" s="519">
        <v>12371901857.938843</v>
      </c>
      <c r="F106" s="519">
        <v>6960196544.7744665</v>
      </c>
      <c r="G106" s="519">
        <v>7676068200.5317507</v>
      </c>
      <c r="H106" s="519">
        <v>4960100000</v>
      </c>
      <c r="I106" s="519">
        <v>4192500000</v>
      </c>
      <c r="J106" s="519">
        <v>6544900000</v>
      </c>
      <c r="K106" s="519">
        <v>10171900000</v>
      </c>
      <c r="L106" s="519">
        <v>14262600000</v>
      </c>
      <c r="M106" s="519">
        <v>21066600000</v>
      </c>
      <c r="N106" s="519">
        <v>21763300000</v>
      </c>
      <c r="O106" s="519">
        <v>20837100000</v>
      </c>
      <c r="P106" s="519">
        <v>16708400000</v>
      </c>
      <c r="Q106" s="519">
        <v>12595800000</v>
      </c>
      <c r="R106" s="519">
        <v>7040200000</v>
      </c>
      <c r="S106" s="519">
        <v>4917800000</v>
      </c>
      <c r="T106" s="519">
        <v>4896300000</v>
      </c>
      <c r="U106" s="519">
        <v>4458800000</v>
      </c>
      <c r="V106" s="519">
        <v>5623900000</v>
      </c>
      <c r="W106" s="519">
        <v>8566000000</v>
      </c>
      <c r="X106" s="519">
        <v>14257100000</v>
      </c>
      <c r="Y106" s="519">
        <v>23713900000</v>
      </c>
      <c r="Z106" s="519">
        <v>20289600000</v>
      </c>
      <c r="AA106" s="519">
        <v>16306500000</v>
      </c>
      <c r="AB106" s="519">
        <v>13449800000</v>
      </c>
      <c r="AC106" s="519">
        <v>11581600000</v>
      </c>
      <c r="AD106" s="519">
        <v>7349600000</v>
      </c>
      <c r="AE106" s="519">
        <v>3161800000</v>
      </c>
      <c r="AF106" s="519">
        <v>3184555600</v>
      </c>
      <c r="AG106" s="519">
        <v>5345466400</v>
      </c>
      <c r="AH106" s="519">
        <v>7771036600</v>
      </c>
      <c r="AI106" s="519">
        <v>8994203600</v>
      </c>
      <c r="AJ106" s="519">
        <v>13829217800</v>
      </c>
      <c r="AK106" s="519">
        <v>15709448400</v>
      </c>
      <c r="AL106" s="519">
        <v>17548256800</v>
      </c>
      <c r="AM106" s="519">
        <v>15585181800</v>
      </c>
      <c r="AN106" s="519">
        <v>12056179000</v>
      </c>
      <c r="AO106" s="519">
        <v>8691811000</v>
      </c>
      <c r="AP106" s="519">
        <v>6492956200</v>
      </c>
      <c r="AQ106" s="519">
        <v>4099533000</v>
      </c>
      <c r="AR106" s="519">
        <v>4009837600</v>
      </c>
      <c r="AS106" s="519">
        <v>5368443600</v>
      </c>
      <c r="AT106" s="519">
        <v>5854759200</v>
      </c>
      <c r="AU106" s="519">
        <v>9377332600</v>
      </c>
      <c r="AV106" s="519">
        <v>16950638800</v>
      </c>
      <c r="AW106" s="519">
        <v>17488178800</v>
      </c>
    </row>
    <row r="107" spans="1:49">
      <c r="A107" s="33" t="s">
        <v>2084</v>
      </c>
      <c r="B107" s="519">
        <v>2430000000</v>
      </c>
      <c r="C107" s="519">
        <v>753000000</v>
      </c>
      <c r="D107" s="519">
        <v>9891000000</v>
      </c>
      <c r="E107" s="519">
        <v>25111000000</v>
      </c>
      <c r="F107" s="519">
        <v>1319000000</v>
      </c>
      <c r="G107" s="519">
        <v>100000</v>
      </c>
      <c r="H107" s="519">
        <v>21000000</v>
      </c>
      <c r="I107" s="519">
        <v>0</v>
      </c>
      <c r="J107" s="519">
        <v>23231000000</v>
      </c>
      <c r="K107" s="519">
        <v>10840000000</v>
      </c>
      <c r="L107" s="519">
        <v>2460000000</v>
      </c>
      <c r="M107" s="519">
        <v>438000000</v>
      </c>
      <c r="N107" s="519">
        <v>468000000</v>
      </c>
      <c r="O107" s="519">
        <v>832000000</v>
      </c>
      <c r="P107" s="519">
        <v>473000000</v>
      </c>
      <c r="Q107" s="519">
        <v>15000000</v>
      </c>
      <c r="R107" s="519">
        <v>37000000</v>
      </c>
      <c r="S107" s="519">
        <v>296000000</v>
      </c>
      <c r="T107" s="519">
        <v>7000000</v>
      </c>
      <c r="U107" s="519">
        <v>126000000</v>
      </c>
      <c r="V107" s="519">
        <v>91000000</v>
      </c>
      <c r="W107" s="519">
        <v>34510000000</v>
      </c>
      <c r="X107" s="519">
        <v>7986000000</v>
      </c>
      <c r="Y107" s="519">
        <v>1844000000</v>
      </c>
      <c r="Z107" s="519">
        <v>930000000</v>
      </c>
      <c r="AA107" s="519">
        <v>5339000000</v>
      </c>
      <c r="AB107" s="519">
        <v>436000000</v>
      </c>
      <c r="AC107" s="519">
        <v>23000000</v>
      </c>
      <c r="AD107" s="519">
        <v>0</v>
      </c>
      <c r="AE107" s="519">
        <v>19860000</v>
      </c>
      <c r="AF107" s="519">
        <v>105000000</v>
      </c>
      <c r="AG107" s="519">
        <v>30000000</v>
      </c>
      <c r="AH107" s="519">
        <v>38000000</v>
      </c>
      <c r="AI107" s="519">
        <v>646000000</v>
      </c>
      <c r="AJ107" s="519">
        <v>2591000000</v>
      </c>
      <c r="AK107" s="519">
        <v>271000000</v>
      </c>
      <c r="AL107" s="519">
        <v>268000000</v>
      </c>
      <c r="AM107" s="519">
        <v>1312000000</v>
      </c>
      <c r="AN107" s="519">
        <v>3734000000</v>
      </c>
      <c r="AO107" s="519">
        <v>16251000000</v>
      </c>
      <c r="AP107" s="519">
        <v>43738000000</v>
      </c>
      <c r="AQ107" s="519">
        <v>29693000000</v>
      </c>
      <c r="AR107" s="519">
        <v>20684000000</v>
      </c>
      <c r="AS107" s="519">
        <v>32202000000</v>
      </c>
      <c r="AT107" s="519">
        <v>52392000000</v>
      </c>
      <c r="AU107" s="519">
        <v>32290000000</v>
      </c>
      <c r="AV107" s="519">
        <v>31167000000</v>
      </c>
      <c r="AW107" s="519">
        <v>18506000000</v>
      </c>
    </row>
    <row r="108" spans="1:49">
      <c r="A108" s="595" t="s">
        <v>846</v>
      </c>
      <c r="B108" s="519">
        <v>23275084618.053043</v>
      </c>
      <c r="C108" s="519">
        <v>20456569805.853462</v>
      </c>
      <c r="D108" s="519">
        <v>27751926777.189747</v>
      </c>
      <c r="E108" s="519">
        <v>37482901857.938843</v>
      </c>
      <c r="F108" s="519">
        <v>8279196544.7744665</v>
      </c>
      <c r="G108" s="519">
        <v>7676168200.5317507</v>
      </c>
      <c r="H108" s="519">
        <v>4981100000</v>
      </c>
      <c r="I108" s="519">
        <v>4192500000</v>
      </c>
      <c r="J108" s="519">
        <v>29775900000</v>
      </c>
      <c r="K108" s="519">
        <v>21011900000</v>
      </c>
      <c r="L108" s="519">
        <v>16722600000</v>
      </c>
      <c r="M108" s="519">
        <v>21504600000</v>
      </c>
      <c r="N108" s="519">
        <v>22231300000</v>
      </c>
      <c r="O108" s="519">
        <v>21669100000</v>
      </c>
      <c r="P108" s="519">
        <v>17181400000</v>
      </c>
      <c r="Q108" s="519">
        <v>12610800000</v>
      </c>
      <c r="R108" s="519">
        <v>7077200000</v>
      </c>
      <c r="S108" s="519">
        <v>5213800000</v>
      </c>
      <c r="T108" s="519">
        <v>4903300000</v>
      </c>
      <c r="U108" s="519">
        <v>4584800000</v>
      </c>
      <c r="V108" s="519">
        <v>5714900000</v>
      </c>
      <c r="W108" s="519">
        <v>43076000000</v>
      </c>
      <c r="X108" s="519">
        <v>22243100000</v>
      </c>
      <c r="Y108" s="519">
        <v>25557900000</v>
      </c>
      <c r="Z108" s="519">
        <v>21219600000</v>
      </c>
      <c r="AA108" s="519">
        <v>21645500000</v>
      </c>
      <c r="AB108" s="519">
        <v>13885800000</v>
      </c>
      <c r="AC108" s="519">
        <v>11604600000</v>
      </c>
      <c r="AD108" s="519">
        <v>7349600000</v>
      </c>
      <c r="AE108" s="519">
        <v>3181660000</v>
      </c>
      <c r="AF108" s="519">
        <v>3289555600</v>
      </c>
      <c r="AG108" s="519">
        <v>5375466400</v>
      </c>
      <c r="AH108" s="519">
        <v>7809036600</v>
      </c>
      <c r="AI108" s="519">
        <v>9640203600</v>
      </c>
      <c r="AJ108" s="519">
        <v>16420217800</v>
      </c>
      <c r="AK108" s="519">
        <v>15980448400</v>
      </c>
      <c r="AL108" s="519">
        <v>17816256800</v>
      </c>
      <c r="AM108" s="519">
        <v>16897181800</v>
      </c>
      <c r="AN108" s="519">
        <v>15790179000</v>
      </c>
      <c r="AO108" s="519">
        <v>24942811000</v>
      </c>
      <c r="AP108" s="519">
        <v>50230956200</v>
      </c>
      <c r="AQ108" s="519">
        <v>33792533000</v>
      </c>
      <c r="AR108" s="519">
        <v>24693837600</v>
      </c>
      <c r="AS108" s="519">
        <v>37570443600</v>
      </c>
      <c r="AT108" s="519">
        <v>58246759200</v>
      </c>
      <c r="AU108" s="519">
        <v>41667332600</v>
      </c>
      <c r="AV108" s="519">
        <v>48117638800</v>
      </c>
      <c r="AW108" s="519">
        <v>35994178800</v>
      </c>
    </row>
    <row r="110" spans="1:49">
      <c r="A110" s="661" t="s">
        <v>2085</v>
      </c>
      <c r="B110" s="646">
        <f>B105</f>
        <v>39814</v>
      </c>
      <c r="C110" s="646">
        <f t="shared" ref="C110:AW110" si="10">C105</f>
        <v>39845</v>
      </c>
      <c r="D110" s="646">
        <f t="shared" si="10"/>
        <v>39873</v>
      </c>
      <c r="E110" s="646">
        <f t="shared" si="10"/>
        <v>39904</v>
      </c>
      <c r="F110" s="646">
        <f t="shared" si="10"/>
        <v>39934</v>
      </c>
      <c r="G110" s="646">
        <f t="shared" si="10"/>
        <v>39965</v>
      </c>
      <c r="H110" s="646">
        <f t="shared" si="10"/>
        <v>39995</v>
      </c>
      <c r="I110" s="646">
        <f t="shared" si="10"/>
        <v>40026</v>
      </c>
      <c r="J110" s="646">
        <f t="shared" si="10"/>
        <v>40057</v>
      </c>
      <c r="K110" s="646">
        <f t="shared" si="10"/>
        <v>40087</v>
      </c>
      <c r="L110" s="646">
        <f t="shared" si="10"/>
        <v>40118</v>
      </c>
      <c r="M110" s="646">
        <f t="shared" si="10"/>
        <v>40148</v>
      </c>
      <c r="N110" s="646">
        <f t="shared" si="10"/>
        <v>40179</v>
      </c>
      <c r="O110" s="646">
        <f t="shared" si="10"/>
        <v>40210</v>
      </c>
      <c r="P110" s="646">
        <f t="shared" si="10"/>
        <v>40238</v>
      </c>
      <c r="Q110" s="646">
        <f t="shared" si="10"/>
        <v>40269</v>
      </c>
      <c r="R110" s="646">
        <f t="shared" si="10"/>
        <v>40299</v>
      </c>
      <c r="S110" s="646">
        <f t="shared" si="10"/>
        <v>40330</v>
      </c>
      <c r="T110" s="646">
        <f t="shared" si="10"/>
        <v>40360</v>
      </c>
      <c r="U110" s="646">
        <f t="shared" si="10"/>
        <v>40391</v>
      </c>
      <c r="V110" s="646">
        <f t="shared" si="10"/>
        <v>40422</v>
      </c>
      <c r="W110" s="646">
        <f t="shared" si="10"/>
        <v>40452</v>
      </c>
      <c r="X110" s="646">
        <f t="shared" si="10"/>
        <v>40483</v>
      </c>
      <c r="Y110" s="646">
        <f t="shared" si="10"/>
        <v>40513</v>
      </c>
      <c r="Z110" s="646">
        <f t="shared" si="10"/>
        <v>40544</v>
      </c>
      <c r="AA110" s="646">
        <f t="shared" si="10"/>
        <v>40575</v>
      </c>
      <c r="AB110" s="646">
        <f t="shared" si="10"/>
        <v>40603</v>
      </c>
      <c r="AC110" s="646">
        <f t="shared" si="10"/>
        <v>40634</v>
      </c>
      <c r="AD110" s="646">
        <f t="shared" si="10"/>
        <v>40664</v>
      </c>
      <c r="AE110" s="646">
        <f t="shared" si="10"/>
        <v>40695</v>
      </c>
      <c r="AF110" s="646">
        <f t="shared" si="10"/>
        <v>40725</v>
      </c>
      <c r="AG110" s="646">
        <f t="shared" si="10"/>
        <v>40756</v>
      </c>
      <c r="AH110" s="646">
        <f t="shared" si="10"/>
        <v>40787</v>
      </c>
      <c r="AI110" s="646">
        <f t="shared" si="10"/>
        <v>40817</v>
      </c>
      <c r="AJ110" s="646">
        <f t="shared" si="10"/>
        <v>40848</v>
      </c>
      <c r="AK110" s="646">
        <f t="shared" si="10"/>
        <v>40878</v>
      </c>
      <c r="AL110" s="646">
        <f t="shared" si="10"/>
        <v>40909</v>
      </c>
      <c r="AM110" s="646">
        <f t="shared" si="10"/>
        <v>40940</v>
      </c>
      <c r="AN110" s="646">
        <f t="shared" si="10"/>
        <v>40969</v>
      </c>
      <c r="AO110" s="646">
        <f t="shared" si="10"/>
        <v>41000</v>
      </c>
      <c r="AP110" s="646">
        <f t="shared" si="10"/>
        <v>41030</v>
      </c>
      <c r="AQ110" s="646">
        <f t="shared" si="10"/>
        <v>41061</v>
      </c>
      <c r="AR110" s="646">
        <f t="shared" si="10"/>
        <v>41091</v>
      </c>
      <c r="AS110" s="646">
        <f t="shared" si="10"/>
        <v>41122</v>
      </c>
      <c r="AT110" s="646">
        <f t="shared" si="10"/>
        <v>41153</v>
      </c>
      <c r="AU110" s="646">
        <f t="shared" si="10"/>
        <v>41183</v>
      </c>
      <c r="AV110" s="646">
        <f t="shared" si="10"/>
        <v>41214</v>
      </c>
      <c r="AW110" s="646">
        <f t="shared" si="10"/>
        <v>41244</v>
      </c>
    </row>
    <row r="111" spans="1:49">
      <c r="A111" s="33" t="s">
        <v>2083</v>
      </c>
      <c r="B111" s="519">
        <f>B106/1.028/1000000</f>
        <v>20277.319667366774</v>
      </c>
      <c r="C111" s="519">
        <f t="shared" ref="C111:AW111" si="11">C106/1.028/1000000</f>
        <v>19166.896698301032</v>
      </c>
      <c r="D111" s="519">
        <f t="shared" si="11"/>
        <v>17374.442390262397</v>
      </c>
      <c r="E111" s="519">
        <f t="shared" si="11"/>
        <v>12034.92398632183</v>
      </c>
      <c r="F111" s="519">
        <f t="shared" si="11"/>
        <v>6770.6192069790523</v>
      </c>
      <c r="G111" s="519">
        <f t="shared" si="11"/>
        <v>7466.9924129686287</v>
      </c>
      <c r="H111" s="519">
        <f t="shared" si="11"/>
        <v>4825</v>
      </c>
      <c r="I111" s="519">
        <f t="shared" si="11"/>
        <v>4078.3073929961092</v>
      </c>
      <c r="J111" s="519">
        <f t="shared" si="11"/>
        <v>6366.6342412451359</v>
      </c>
      <c r="K111" s="519">
        <f t="shared" si="11"/>
        <v>9894.8443579766536</v>
      </c>
      <c r="L111" s="519">
        <f t="shared" si="11"/>
        <v>13874.124513618677</v>
      </c>
      <c r="M111" s="519">
        <f t="shared" si="11"/>
        <v>20492.801556420236</v>
      </c>
      <c r="N111" s="519">
        <f t="shared" si="11"/>
        <v>21170.525291828792</v>
      </c>
      <c r="O111" s="519">
        <f t="shared" si="11"/>
        <v>20269.552529182882</v>
      </c>
      <c r="P111" s="519">
        <f t="shared" si="11"/>
        <v>16253.307392996108</v>
      </c>
      <c r="Q111" s="519">
        <f t="shared" si="11"/>
        <v>12252.723735408559</v>
      </c>
      <c r="R111" s="519">
        <f t="shared" si="11"/>
        <v>6848.4435797665365</v>
      </c>
      <c r="S111" s="519">
        <f t="shared" si="11"/>
        <v>4783.8521400778209</v>
      </c>
      <c r="T111" s="519">
        <f t="shared" si="11"/>
        <v>4762.9377431906614</v>
      </c>
      <c r="U111" s="519">
        <f t="shared" si="11"/>
        <v>4337.3540856031132</v>
      </c>
      <c r="V111" s="519">
        <f t="shared" si="11"/>
        <v>5470.7198443579773</v>
      </c>
      <c r="W111" s="519">
        <f t="shared" si="11"/>
        <v>8332.6848249027225</v>
      </c>
      <c r="X111" s="519">
        <f t="shared" si="11"/>
        <v>13868.774319066148</v>
      </c>
      <c r="Y111" s="519">
        <f t="shared" si="11"/>
        <v>23067.996108949417</v>
      </c>
      <c r="Z111" s="519">
        <f t="shared" si="11"/>
        <v>19736.964980544748</v>
      </c>
      <c r="AA111" s="519">
        <f t="shared" si="11"/>
        <v>15862.354085603114</v>
      </c>
      <c r="AB111" s="519">
        <f t="shared" si="11"/>
        <v>13083.463035019455</v>
      </c>
      <c r="AC111" s="519">
        <f t="shared" si="11"/>
        <v>11266.147859922179</v>
      </c>
      <c r="AD111" s="519">
        <f t="shared" si="11"/>
        <v>7149.4163424124508</v>
      </c>
      <c r="AE111" s="519">
        <f t="shared" si="11"/>
        <v>3075.6809338521398</v>
      </c>
      <c r="AF111" s="519">
        <f t="shared" si="11"/>
        <v>3097.8167315175097</v>
      </c>
      <c r="AG111" s="519">
        <f t="shared" si="11"/>
        <v>5199.8700389105052</v>
      </c>
      <c r="AH111" s="519">
        <f t="shared" si="11"/>
        <v>7559.3741245136189</v>
      </c>
      <c r="AI111" s="519">
        <f t="shared" si="11"/>
        <v>8749.2252918287941</v>
      </c>
      <c r="AJ111" s="519">
        <f t="shared" si="11"/>
        <v>13452.546498054473</v>
      </c>
      <c r="AK111" s="519">
        <f t="shared" si="11"/>
        <v>15281.564591439688</v>
      </c>
      <c r="AL111" s="519">
        <f t="shared" si="11"/>
        <v>17070.288715953306</v>
      </c>
      <c r="AM111" s="519">
        <f t="shared" si="11"/>
        <v>15160.682684824902</v>
      </c>
      <c r="AN111" s="519">
        <f t="shared" si="11"/>
        <v>11727.800583657587</v>
      </c>
      <c r="AO111" s="519">
        <f t="shared" si="11"/>
        <v>8455.0690661478602</v>
      </c>
      <c r="AP111" s="519">
        <f t="shared" si="11"/>
        <v>6316.105252918288</v>
      </c>
      <c r="AQ111" s="519">
        <f t="shared" si="11"/>
        <v>3987.8725680933853</v>
      </c>
      <c r="AR111" s="519">
        <f t="shared" si="11"/>
        <v>3900.6202334630352</v>
      </c>
      <c r="AS111" s="519">
        <f t="shared" si="11"/>
        <v>5222.2214007782095</v>
      </c>
      <c r="AT111" s="519">
        <f t="shared" si="11"/>
        <v>5695.2910505836571</v>
      </c>
      <c r="AU111" s="519">
        <f t="shared" si="11"/>
        <v>9121.9188715953314</v>
      </c>
      <c r="AV111" s="519">
        <f t="shared" si="11"/>
        <v>16488.948249027238</v>
      </c>
      <c r="AW111" s="519">
        <f t="shared" si="11"/>
        <v>17011.847081712061</v>
      </c>
    </row>
    <row r="112" spans="1:49">
      <c r="A112" s="33" t="s">
        <v>2084</v>
      </c>
      <c r="B112" s="519">
        <f t="shared" ref="B112:AW112" si="12">B107/1.028/1000000</f>
        <v>2363.8132295719843</v>
      </c>
      <c r="C112" s="519">
        <f t="shared" si="12"/>
        <v>732.49027237354085</v>
      </c>
      <c r="D112" s="519">
        <f t="shared" si="12"/>
        <v>9621.5953307392992</v>
      </c>
      <c r="E112" s="519">
        <f t="shared" si="12"/>
        <v>24427.042801556421</v>
      </c>
      <c r="F112" s="519">
        <f t="shared" si="12"/>
        <v>1283.0739299610893</v>
      </c>
      <c r="G112" s="519">
        <f t="shared" si="12"/>
        <v>9.727626459143969E-2</v>
      </c>
      <c r="H112" s="519">
        <f t="shared" si="12"/>
        <v>20.428015564202333</v>
      </c>
      <c r="I112" s="519">
        <f t="shared" si="12"/>
        <v>0</v>
      </c>
      <c r="J112" s="519">
        <f t="shared" si="12"/>
        <v>22598.249027237354</v>
      </c>
      <c r="K112" s="519">
        <f t="shared" si="12"/>
        <v>10544.747081712063</v>
      </c>
      <c r="L112" s="519">
        <f t="shared" si="12"/>
        <v>2392.9961089494163</v>
      </c>
      <c r="M112" s="519">
        <f t="shared" si="12"/>
        <v>426.07003891050584</v>
      </c>
      <c r="N112" s="519">
        <f t="shared" si="12"/>
        <v>455.25291828793775</v>
      </c>
      <c r="O112" s="519">
        <f t="shared" si="12"/>
        <v>809.33852140077818</v>
      </c>
      <c r="P112" s="519">
        <f t="shared" si="12"/>
        <v>460.11673151750972</v>
      </c>
      <c r="Q112" s="519">
        <f t="shared" si="12"/>
        <v>14.591439688715953</v>
      </c>
      <c r="R112" s="519">
        <f t="shared" si="12"/>
        <v>35.992217898832685</v>
      </c>
      <c r="S112" s="519">
        <f t="shared" si="12"/>
        <v>287.93774319066148</v>
      </c>
      <c r="T112" s="519">
        <f t="shared" si="12"/>
        <v>6.809338521400778</v>
      </c>
      <c r="U112" s="519">
        <f t="shared" si="12"/>
        <v>122.568093385214</v>
      </c>
      <c r="V112" s="519">
        <f t="shared" si="12"/>
        <v>88.521400778210122</v>
      </c>
      <c r="W112" s="519">
        <f t="shared" si="12"/>
        <v>33570.038910505835</v>
      </c>
      <c r="X112" s="519">
        <f t="shared" si="12"/>
        <v>7768.4824902723731</v>
      </c>
      <c r="Y112" s="519">
        <f t="shared" si="12"/>
        <v>1793.7743190661479</v>
      </c>
      <c r="Z112" s="519">
        <f t="shared" si="12"/>
        <v>904.66926070038903</v>
      </c>
      <c r="AA112" s="519">
        <f t="shared" si="12"/>
        <v>5193.5797665369646</v>
      </c>
      <c r="AB112" s="519">
        <f t="shared" si="12"/>
        <v>424.12451361867704</v>
      </c>
      <c r="AC112" s="519">
        <f t="shared" si="12"/>
        <v>22.373540856031127</v>
      </c>
      <c r="AD112" s="519">
        <f t="shared" si="12"/>
        <v>0</v>
      </c>
      <c r="AE112" s="519">
        <f t="shared" si="12"/>
        <v>19.319066147859925</v>
      </c>
      <c r="AF112" s="519">
        <f t="shared" si="12"/>
        <v>102.14007782101167</v>
      </c>
      <c r="AG112" s="519">
        <f t="shared" si="12"/>
        <v>29.182879377431906</v>
      </c>
      <c r="AH112" s="519">
        <f t="shared" si="12"/>
        <v>36.964980544747085</v>
      </c>
      <c r="AI112" s="519">
        <f t="shared" si="12"/>
        <v>628.4046692607003</v>
      </c>
      <c r="AJ112" s="519">
        <f t="shared" si="12"/>
        <v>2520.4280155642023</v>
      </c>
      <c r="AK112" s="519">
        <f t="shared" si="12"/>
        <v>263.61867704280155</v>
      </c>
      <c r="AL112" s="519">
        <f t="shared" si="12"/>
        <v>260.70038910505838</v>
      </c>
      <c r="AM112" s="519">
        <f t="shared" si="12"/>
        <v>1276.2645914396887</v>
      </c>
      <c r="AN112" s="519">
        <f t="shared" si="12"/>
        <v>3632.2957198443578</v>
      </c>
      <c r="AO112" s="519">
        <f t="shared" si="12"/>
        <v>15808.365758754864</v>
      </c>
      <c r="AP112" s="519">
        <f t="shared" si="12"/>
        <v>42546.69260700389</v>
      </c>
      <c r="AQ112" s="519">
        <f t="shared" si="12"/>
        <v>28884.241245136185</v>
      </c>
      <c r="AR112" s="519">
        <f t="shared" si="12"/>
        <v>20120.622568093382</v>
      </c>
      <c r="AS112" s="519">
        <f t="shared" si="12"/>
        <v>31324.902723735409</v>
      </c>
      <c r="AT112" s="519">
        <f t="shared" si="12"/>
        <v>50964.980544747079</v>
      </c>
      <c r="AU112" s="519">
        <f t="shared" si="12"/>
        <v>31410.505836575874</v>
      </c>
      <c r="AV112" s="519">
        <f t="shared" si="12"/>
        <v>30318.093385214008</v>
      </c>
      <c r="AW112" s="519">
        <f t="shared" si="12"/>
        <v>18001.945525291827</v>
      </c>
    </row>
    <row r="113" spans="1:49">
      <c r="A113" s="595" t="s">
        <v>846</v>
      </c>
      <c r="B113" s="519">
        <f t="shared" ref="B113:AW113" si="13">B108/1.028/1000000</f>
        <v>22641.132896938758</v>
      </c>
      <c r="C113" s="519">
        <f t="shared" si="13"/>
        <v>19899.386970674572</v>
      </c>
      <c r="D113" s="519">
        <f t="shared" si="13"/>
        <v>26996.037721001696</v>
      </c>
      <c r="E113" s="519">
        <f t="shared" si="13"/>
        <v>36461.966787878249</v>
      </c>
      <c r="F113" s="519">
        <f t="shared" si="13"/>
        <v>8053.6931369401427</v>
      </c>
      <c r="G113" s="519">
        <f t="shared" si="13"/>
        <v>7467.0896892332203</v>
      </c>
      <c r="H113" s="519">
        <f t="shared" si="13"/>
        <v>4845.4280155642027</v>
      </c>
      <c r="I113" s="519">
        <f t="shared" si="13"/>
        <v>4078.3073929961092</v>
      </c>
      <c r="J113" s="519">
        <f t="shared" si="13"/>
        <v>28964.883268482492</v>
      </c>
      <c r="K113" s="519">
        <f t="shared" si="13"/>
        <v>20439.591439688716</v>
      </c>
      <c r="L113" s="519">
        <f t="shared" si="13"/>
        <v>16267.120622568093</v>
      </c>
      <c r="M113" s="519">
        <f t="shared" si="13"/>
        <v>20918.871595330736</v>
      </c>
      <c r="N113" s="519">
        <f t="shared" si="13"/>
        <v>21625.778210116729</v>
      </c>
      <c r="O113" s="519">
        <f t="shared" si="13"/>
        <v>21078.891050583657</v>
      </c>
      <c r="P113" s="519">
        <f t="shared" si="13"/>
        <v>16713.424124513618</v>
      </c>
      <c r="Q113" s="519">
        <f t="shared" si="13"/>
        <v>12267.315175097277</v>
      </c>
      <c r="R113" s="519">
        <f t="shared" si="13"/>
        <v>6884.4357976653691</v>
      </c>
      <c r="S113" s="519">
        <f t="shared" si="13"/>
        <v>5071.7898832684823</v>
      </c>
      <c r="T113" s="519">
        <f t="shared" si="13"/>
        <v>4769.747081712062</v>
      </c>
      <c r="U113" s="519">
        <f t="shared" si="13"/>
        <v>4459.9221789883268</v>
      </c>
      <c r="V113" s="519">
        <f t="shared" si="13"/>
        <v>5559.241245136187</v>
      </c>
      <c r="W113" s="519">
        <f t="shared" si="13"/>
        <v>41902.723735408559</v>
      </c>
      <c r="X113" s="519">
        <f t="shared" si="13"/>
        <v>21637.25680933852</v>
      </c>
      <c r="Y113" s="519">
        <f t="shared" si="13"/>
        <v>24861.770428015563</v>
      </c>
      <c r="Z113" s="519">
        <f t="shared" si="13"/>
        <v>20641.634241245138</v>
      </c>
      <c r="AA113" s="519">
        <f t="shared" si="13"/>
        <v>21055.933852140075</v>
      </c>
      <c r="AB113" s="519">
        <f t="shared" si="13"/>
        <v>13507.587548638132</v>
      </c>
      <c r="AC113" s="519">
        <f t="shared" si="13"/>
        <v>11288.521400778211</v>
      </c>
      <c r="AD113" s="519">
        <f t="shared" si="13"/>
        <v>7149.4163424124508</v>
      </c>
      <c r="AE113" s="519">
        <f t="shared" si="13"/>
        <v>3095</v>
      </c>
      <c r="AF113" s="519">
        <f t="shared" si="13"/>
        <v>3199.9568093385215</v>
      </c>
      <c r="AG113" s="519">
        <f t="shared" si="13"/>
        <v>5229.0529182879372</v>
      </c>
      <c r="AH113" s="519">
        <f t="shared" si="13"/>
        <v>7596.3391050583659</v>
      </c>
      <c r="AI113" s="519">
        <f t="shared" si="13"/>
        <v>9377.6299610894948</v>
      </c>
      <c r="AJ113" s="519">
        <f t="shared" si="13"/>
        <v>15972.974513618678</v>
      </c>
      <c r="AK113" s="519">
        <f t="shared" si="13"/>
        <v>15545.183268482491</v>
      </c>
      <c r="AL113" s="519">
        <f t="shared" si="13"/>
        <v>17330.989105058365</v>
      </c>
      <c r="AM113" s="519">
        <f t="shared" si="13"/>
        <v>16436.947276264593</v>
      </c>
      <c r="AN113" s="519">
        <f t="shared" si="13"/>
        <v>15360.096303501945</v>
      </c>
      <c r="AO113" s="519">
        <f t="shared" si="13"/>
        <v>24263.434824902721</v>
      </c>
      <c r="AP113" s="519">
        <f t="shared" si="13"/>
        <v>48862.797859922182</v>
      </c>
      <c r="AQ113" s="519">
        <f t="shared" si="13"/>
        <v>32872.113813229575</v>
      </c>
      <c r="AR113" s="519">
        <f t="shared" si="13"/>
        <v>24021.242801556418</v>
      </c>
      <c r="AS113" s="519">
        <f t="shared" si="13"/>
        <v>36547.124124513619</v>
      </c>
      <c r="AT113" s="519">
        <f t="shared" si="13"/>
        <v>56660.271595330734</v>
      </c>
      <c r="AU113" s="519">
        <f t="shared" si="13"/>
        <v>40532.424708171202</v>
      </c>
      <c r="AV113" s="519">
        <f t="shared" si="13"/>
        <v>46807.041634241243</v>
      </c>
      <c r="AW113" s="519">
        <f t="shared" si="13"/>
        <v>35013.792607003888</v>
      </c>
    </row>
    <row r="116" spans="1:49">
      <c r="B116" s="741">
        <f>SUM(B112:G112)</f>
        <v>38428.112840466922</v>
      </c>
    </row>
  </sheetData>
  <pageMargins left="0.7" right="0.7" top="0.75" bottom="0.75" header="0.3" footer="0.3"/>
  <pageSetup orientation="portrait" horizontalDpi="4294967293" verticalDpi="0" r:id="rId1"/>
</worksheet>
</file>

<file path=xl/worksheets/sheet11.xml><?xml version="1.0" encoding="utf-8"?>
<worksheet xmlns="http://schemas.openxmlformats.org/spreadsheetml/2006/main" xmlns:r="http://schemas.openxmlformats.org/officeDocument/2006/relationships">
  <dimension ref="A1:CN110"/>
  <sheetViews>
    <sheetView workbookViewId="0">
      <selection activeCell="M10" sqref="M9:M10"/>
    </sheetView>
  </sheetViews>
  <sheetFormatPr defaultRowHeight="15"/>
  <cols>
    <col min="1" max="16384" width="9.140625" style="697"/>
  </cols>
  <sheetData>
    <row r="1" spans="1:92">
      <c r="A1" s="988" t="s">
        <v>2528</v>
      </c>
    </row>
    <row r="2" spans="1:92">
      <c r="A2" s="566">
        <v>38596</v>
      </c>
      <c r="B2" s="1014">
        <v>38626</v>
      </c>
      <c r="C2" s="566">
        <v>38657</v>
      </c>
      <c r="D2" s="1014">
        <v>38687</v>
      </c>
      <c r="E2" s="566">
        <v>38718</v>
      </c>
      <c r="F2" s="1014">
        <v>38749</v>
      </c>
      <c r="G2" s="566">
        <v>38777</v>
      </c>
      <c r="H2" s="1014">
        <v>38808</v>
      </c>
      <c r="I2" s="566">
        <v>38838</v>
      </c>
      <c r="J2" s="1014">
        <v>38869</v>
      </c>
      <c r="K2" s="566">
        <v>38899</v>
      </c>
      <c r="L2" s="1014">
        <v>38930</v>
      </c>
      <c r="M2" s="1014">
        <v>38961</v>
      </c>
      <c r="N2" s="1014">
        <v>38991</v>
      </c>
      <c r="O2" s="1014">
        <v>39022</v>
      </c>
      <c r="P2" s="1014">
        <v>39052</v>
      </c>
      <c r="Q2" s="1014">
        <v>39083</v>
      </c>
      <c r="R2" s="1014">
        <v>39114</v>
      </c>
      <c r="S2" s="1014">
        <v>39142</v>
      </c>
      <c r="T2" s="1014">
        <v>39173</v>
      </c>
      <c r="U2" s="1014">
        <v>39203</v>
      </c>
      <c r="V2" s="1014">
        <v>39234</v>
      </c>
      <c r="W2" s="1014">
        <v>39264</v>
      </c>
      <c r="X2" s="1014">
        <v>39295</v>
      </c>
      <c r="Y2" s="1014">
        <v>39326</v>
      </c>
      <c r="Z2" s="1014">
        <v>39356</v>
      </c>
      <c r="AA2" s="1014">
        <v>39387</v>
      </c>
      <c r="AB2" s="1014">
        <v>39417</v>
      </c>
      <c r="AC2" s="1014">
        <v>39448</v>
      </c>
      <c r="AD2" s="1014">
        <v>39479</v>
      </c>
      <c r="AE2" s="1014">
        <v>39508</v>
      </c>
      <c r="AF2" s="1014">
        <v>39539</v>
      </c>
      <c r="AG2" s="1014">
        <v>39569</v>
      </c>
      <c r="AH2" s="1014">
        <v>39600</v>
      </c>
      <c r="AI2" s="1014">
        <v>39630</v>
      </c>
      <c r="AJ2" s="1014">
        <v>39661</v>
      </c>
      <c r="AK2" s="1014">
        <v>39692</v>
      </c>
      <c r="AL2" s="1014">
        <v>39722</v>
      </c>
      <c r="AM2" s="1014">
        <v>39753</v>
      </c>
      <c r="AN2" s="1014">
        <v>39783</v>
      </c>
      <c r="AO2" s="1014">
        <v>39814</v>
      </c>
      <c r="AP2" s="1014">
        <v>39845</v>
      </c>
      <c r="AQ2" s="1014">
        <v>39873</v>
      </c>
      <c r="AR2" s="1014">
        <v>39904</v>
      </c>
      <c r="AS2" s="1014">
        <v>39934</v>
      </c>
      <c r="AT2" s="1014">
        <v>39965</v>
      </c>
      <c r="AU2" s="1014">
        <v>39995</v>
      </c>
      <c r="AV2" s="1014">
        <v>40026</v>
      </c>
      <c r="AW2" s="1014">
        <v>40057</v>
      </c>
      <c r="AX2" s="1014">
        <v>40087</v>
      </c>
      <c r="AY2" s="1014">
        <v>40118</v>
      </c>
      <c r="AZ2" s="1014">
        <v>40148</v>
      </c>
      <c r="BA2" s="1014">
        <v>40179</v>
      </c>
      <c r="BB2" s="1014">
        <v>40210</v>
      </c>
      <c r="BC2" s="1014">
        <v>40238</v>
      </c>
      <c r="BD2" s="1014">
        <v>40269</v>
      </c>
      <c r="BE2" s="1014">
        <v>40299</v>
      </c>
      <c r="BF2" s="1014">
        <v>40330</v>
      </c>
      <c r="BG2" s="1014">
        <v>40360</v>
      </c>
      <c r="BH2" s="1014">
        <v>40391</v>
      </c>
      <c r="BI2" s="1014">
        <v>40422</v>
      </c>
      <c r="BJ2" s="1014">
        <v>40452</v>
      </c>
      <c r="BK2" s="1014">
        <v>40483</v>
      </c>
      <c r="BL2" s="1014">
        <v>40513</v>
      </c>
      <c r="BM2" s="1014">
        <v>40544</v>
      </c>
      <c r="BN2" s="1014">
        <v>40575</v>
      </c>
      <c r="BO2" s="1014">
        <v>40603</v>
      </c>
      <c r="BP2" s="1014">
        <v>40634</v>
      </c>
      <c r="BQ2" s="1014">
        <v>40664</v>
      </c>
      <c r="BR2" s="1014">
        <v>40695</v>
      </c>
      <c r="BS2" s="1014">
        <v>40725</v>
      </c>
      <c r="BT2" s="1014">
        <v>40756</v>
      </c>
      <c r="BU2" s="1014">
        <v>40787</v>
      </c>
      <c r="BV2" s="1014">
        <v>40817</v>
      </c>
      <c r="BW2" s="1014">
        <v>40848</v>
      </c>
      <c r="BX2" s="1014">
        <v>40878</v>
      </c>
      <c r="BY2" s="1014">
        <v>40909</v>
      </c>
      <c r="BZ2" s="1014">
        <v>40940</v>
      </c>
      <c r="CA2" s="1014">
        <v>40969</v>
      </c>
      <c r="CB2" s="1014">
        <v>41000</v>
      </c>
      <c r="CC2" s="1014">
        <v>41030</v>
      </c>
      <c r="CD2" s="1014">
        <v>41061</v>
      </c>
      <c r="CE2" s="1014">
        <v>41091</v>
      </c>
      <c r="CF2" s="1014">
        <v>41122</v>
      </c>
      <c r="CG2" s="1014">
        <v>41153</v>
      </c>
      <c r="CH2" s="1014">
        <v>41183</v>
      </c>
      <c r="CI2" s="1014">
        <v>41214</v>
      </c>
      <c r="CJ2" s="1014">
        <v>41244</v>
      </c>
      <c r="CK2" s="1014">
        <v>41275</v>
      </c>
      <c r="CL2" s="1014">
        <v>41306</v>
      </c>
      <c r="CM2" s="1014">
        <v>41334</v>
      </c>
      <c r="CN2" s="1014">
        <v>41365</v>
      </c>
    </row>
    <row r="3" spans="1:92">
      <c r="A3" s="697">
        <v>8</v>
      </c>
      <c r="B3" s="697">
        <v>29</v>
      </c>
      <c r="C3" s="697">
        <v>34</v>
      </c>
      <c r="D3" s="697">
        <v>29</v>
      </c>
      <c r="E3" s="697">
        <v>28</v>
      </c>
      <c r="F3" s="697">
        <v>32</v>
      </c>
      <c r="G3" s="697">
        <v>30</v>
      </c>
      <c r="H3" s="697">
        <v>30</v>
      </c>
      <c r="I3" s="697">
        <v>32</v>
      </c>
      <c r="J3" s="697">
        <v>28</v>
      </c>
      <c r="K3" s="697">
        <v>35</v>
      </c>
      <c r="L3" s="697">
        <v>31</v>
      </c>
      <c r="M3" s="697">
        <v>27</v>
      </c>
      <c r="N3" s="697">
        <v>29</v>
      </c>
      <c r="O3" s="697">
        <v>32</v>
      </c>
      <c r="P3" s="697">
        <v>31</v>
      </c>
      <c r="Q3" s="697">
        <v>28</v>
      </c>
      <c r="R3" s="697">
        <v>33</v>
      </c>
      <c r="S3" s="697">
        <v>30</v>
      </c>
      <c r="T3" s="697">
        <v>32</v>
      </c>
      <c r="U3" s="697">
        <v>29</v>
      </c>
      <c r="V3" s="697">
        <v>26</v>
      </c>
      <c r="W3" s="697">
        <v>32</v>
      </c>
      <c r="X3" s="697">
        <v>33</v>
      </c>
      <c r="Y3" s="697">
        <v>28</v>
      </c>
      <c r="Z3" s="697">
        <v>33</v>
      </c>
      <c r="AA3" s="697">
        <v>32</v>
      </c>
      <c r="AB3" s="697">
        <v>27</v>
      </c>
      <c r="AC3" s="697">
        <v>33</v>
      </c>
      <c r="AD3" s="697">
        <v>28</v>
      </c>
      <c r="AE3" s="697">
        <v>31</v>
      </c>
      <c r="AF3" s="697">
        <v>31</v>
      </c>
      <c r="AG3" s="697">
        <v>30</v>
      </c>
      <c r="AH3" s="697">
        <v>30</v>
      </c>
      <c r="AI3" s="697">
        <v>32</v>
      </c>
      <c r="AJ3" s="697">
        <v>29</v>
      </c>
      <c r="AK3" s="697">
        <v>30</v>
      </c>
      <c r="AL3" s="697">
        <v>35</v>
      </c>
      <c r="AM3" s="697">
        <v>26</v>
      </c>
      <c r="AN3" s="697">
        <v>33</v>
      </c>
      <c r="AO3" s="697">
        <v>35</v>
      </c>
      <c r="AP3" s="697">
        <v>24</v>
      </c>
      <c r="AQ3" s="697">
        <v>31</v>
      </c>
      <c r="AR3" s="697">
        <v>31</v>
      </c>
      <c r="AS3" s="697">
        <v>25</v>
      </c>
      <c r="AT3" s="697">
        <v>32</v>
      </c>
      <c r="AU3" s="697">
        <v>28</v>
      </c>
      <c r="AV3" s="697">
        <v>31</v>
      </c>
      <c r="AW3" s="697">
        <v>33</v>
      </c>
      <c r="AX3" s="697">
        <v>28</v>
      </c>
      <c r="AY3" s="697">
        <v>33</v>
      </c>
      <c r="AZ3" s="697">
        <v>30</v>
      </c>
      <c r="BA3" s="697">
        <v>29</v>
      </c>
      <c r="BB3" s="697">
        <v>28</v>
      </c>
      <c r="BC3" s="697">
        <v>29</v>
      </c>
      <c r="BD3" s="697">
        <v>35</v>
      </c>
      <c r="BE3" s="697">
        <v>26</v>
      </c>
      <c r="BF3" s="697">
        <v>30</v>
      </c>
      <c r="BG3" s="697">
        <v>33</v>
      </c>
      <c r="BH3" s="697">
        <v>32</v>
      </c>
      <c r="BI3" s="697">
        <v>29</v>
      </c>
      <c r="BJ3" s="697">
        <v>31</v>
      </c>
      <c r="BK3" s="697">
        <v>33</v>
      </c>
      <c r="BL3" s="697">
        <v>28</v>
      </c>
      <c r="BM3" s="697">
        <v>30</v>
      </c>
      <c r="BN3" s="697">
        <v>28</v>
      </c>
      <c r="BO3" s="697">
        <v>33</v>
      </c>
      <c r="BP3" s="697">
        <v>30</v>
      </c>
      <c r="BQ3" s="697">
        <v>28</v>
      </c>
      <c r="BR3" s="697">
        <v>34</v>
      </c>
      <c r="BS3" s="697">
        <v>28</v>
      </c>
      <c r="BT3" s="697">
        <v>33</v>
      </c>
      <c r="BU3" s="697">
        <v>31</v>
      </c>
      <c r="BV3" s="697">
        <v>27</v>
      </c>
      <c r="BW3" s="697">
        <v>34</v>
      </c>
      <c r="BX3" s="697">
        <v>29</v>
      </c>
      <c r="BY3" s="697">
        <v>30</v>
      </c>
      <c r="BZ3" s="697">
        <v>32</v>
      </c>
      <c r="CA3" s="697">
        <v>29</v>
      </c>
      <c r="CB3" s="697">
        <v>30</v>
      </c>
      <c r="CC3" s="697">
        <v>32</v>
      </c>
      <c r="CD3" s="697">
        <v>27</v>
      </c>
      <c r="CF3" s="697">
        <v>30</v>
      </c>
      <c r="CG3" s="697">
        <v>30</v>
      </c>
      <c r="CH3" s="697">
        <v>30</v>
      </c>
      <c r="CI3" s="697">
        <v>30</v>
      </c>
      <c r="CJ3" s="697">
        <v>30</v>
      </c>
      <c r="CK3" s="697">
        <v>30</v>
      </c>
      <c r="CL3" s="697">
        <v>30</v>
      </c>
      <c r="CM3" s="697">
        <v>30</v>
      </c>
      <c r="CN3" s="697">
        <v>30</v>
      </c>
    </row>
    <row r="4" spans="1:92">
      <c r="A4" s="697">
        <v>651</v>
      </c>
      <c r="B4" s="697">
        <v>875</v>
      </c>
      <c r="C4" s="297">
        <v>1672</v>
      </c>
      <c r="D4" s="297">
        <v>2004</v>
      </c>
      <c r="E4" s="297">
        <v>1712</v>
      </c>
      <c r="F4" s="297">
        <v>2124</v>
      </c>
      <c r="G4" s="297">
        <v>2049</v>
      </c>
      <c r="H4" s="297">
        <v>1344</v>
      </c>
      <c r="I4" s="297">
        <v>1350</v>
      </c>
      <c r="J4" s="297">
        <v>1325</v>
      </c>
      <c r="K4" s="297">
        <v>1264</v>
      </c>
      <c r="L4" s="297">
        <v>1058</v>
      </c>
      <c r="M4" s="297">
        <v>1146</v>
      </c>
      <c r="N4" s="297">
        <v>1447</v>
      </c>
      <c r="O4" s="297">
        <v>2314</v>
      </c>
      <c r="P4" s="297">
        <v>2354</v>
      </c>
      <c r="Q4" s="297">
        <v>1978</v>
      </c>
      <c r="R4" s="297">
        <v>2756</v>
      </c>
      <c r="S4" s="297">
        <v>1816</v>
      </c>
      <c r="T4" s="297">
        <v>1584</v>
      </c>
      <c r="U4" s="297">
        <v>1367</v>
      </c>
      <c r="V4" s="297">
        <v>1020</v>
      </c>
      <c r="W4" s="297">
        <v>1154</v>
      </c>
      <c r="X4" s="297">
        <v>1070</v>
      </c>
      <c r="Y4" s="697">
        <v>916</v>
      </c>
      <c r="Z4" s="297">
        <v>1432</v>
      </c>
      <c r="AA4" s="297">
        <v>2365</v>
      </c>
      <c r="AB4" s="297">
        <v>2251</v>
      </c>
      <c r="AC4" s="297">
        <v>2550</v>
      </c>
      <c r="AD4" s="297">
        <v>2103</v>
      </c>
      <c r="AE4" s="297">
        <v>2002</v>
      </c>
      <c r="AF4" s="297">
        <v>1803</v>
      </c>
      <c r="AG4" s="297">
        <v>1841</v>
      </c>
      <c r="AH4" s="297">
        <v>1208</v>
      </c>
      <c r="AI4" s="297">
        <v>1451</v>
      </c>
      <c r="AJ4" s="297">
        <v>1302</v>
      </c>
      <c r="AK4" s="297">
        <v>1536</v>
      </c>
      <c r="AL4" s="297">
        <v>2245</v>
      </c>
      <c r="AM4" s="297">
        <v>1875</v>
      </c>
      <c r="AN4" s="297">
        <v>2308</v>
      </c>
      <c r="AO4" s="297">
        <v>1981</v>
      </c>
      <c r="AP4" s="297">
        <v>1411</v>
      </c>
      <c r="AQ4" s="297">
        <v>692</v>
      </c>
      <c r="AR4" s="297">
        <v>692</v>
      </c>
      <c r="AS4" s="697">
        <v>939</v>
      </c>
      <c r="AT4" s="697">
        <v>922</v>
      </c>
      <c r="AU4" s="697">
        <v>786</v>
      </c>
      <c r="AV4" s="697">
        <v>773</v>
      </c>
      <c r="AW4" s="697">
        <v>984</v>
      </c>
      <c r="AX4" s="297">
        <v>1124</v>
      </c>
      <c r="AY4" s="297">
        <v>1261</v>
      </c>
      <c r="AZ4" s="297">
        <v>1703</v>
      </c>
      <c r="BA4" s="297">
        <v>1551</v>
      </c>
      <c r="BB4" s="297">
        <v>1341</v>
      </c>
      <c r="BC4" s="297">
        <v>1472</v>
      </c>
      <c r="BD4" s="297">
        <v>1369</v>
      </c>
      <c r="BE4" s="697">
        <v>855</v>
      </c>
      <c r="BF4" s="697">
        <v>770</v>
      </c>
      <c r="BG4" s="697">
        <v>956</v>
      </c>
      <c r="BH4" s="697">
        <v>932</v>
      </c>
      <c r="BI4" s="697">
        <v>874</v>
      </c>
      <c r="BJ4" s="297">
        <v>1162</v>
      </c>
      <c r="BK4" s="297">
        <v>1557</v>
      </c>
      <c r="BL4" s="297">
        <v>1350</v>
      </c>
      <c r="BM4" s="297">
        <v>1578</v>
      </c>
      <c r="BN4" s="297">
        <v>1391</v>
      </c>
      <c r="BO4" s="297">
        <v>1464</v>
      </c>
      <c r="BP4" s="297">
        <v>1172</v>
      </c>
      <c r="BQ4" s="697">
        <v>984</v>
      </c>
      <c r="BR4" s="697">
        <v>684</v>
      </c>
      <c r="BS4" s="697">
        <v>813</v>
      </c>
      <c r="BT4" s="697">
        <v>740</v>
      </c>
      <c r="BU4" s="297">
        <v>1175</v>
      </c>
      <c r="BV4" s="297">
        <v>1188</v>
      </c>
      <c r="BW4" s="297">
        <v>1678</v>
      </c>
      <c r="BX4" s="297">
        <v>1569</v>
      </c>
      <c r="BY4" s="297">
        <v>1401</v>
      </c>
      <c r="BZ4" s="297">
        <v>1345</v>
      </c>
      <c r="CA4" s="297">
        <v>1216</v>
      </c>
      <c r="CB4" s="297">
        <v>1186</v>
      </c>
      <c r="CC4" s="297">
        <v>1165</v>
      </c>
      <c r="CD4" s="697">
        <v>730</v>
      </c>
      <c r="CE4" s="697">
        <v>804</v>
      </c>
      <c r="CF4" s="697">
        <v>878</v>
      </c>
      <c r="CG4" s="297">
        <v>1039</v>
      </c>
      <c r="CH4" s="697">
        <v>963</v>
      </c>
      <c r="CI4" s="297">
        <v>1370</v>
      </c>
      <c r="CJ4" s="297">
        <v>1997</v>
      </c>
      <c r="CK4" s="297">
        <v>1929</v>
      </c>
      <c r="CL4" s="297">
        <v>1563</v>
      </c>
      <c r="CM4" s="297">
        <v>1421</v>
      </c>
      <c r="CN4" s="297">
        <v>1554</v>
      </c>
    </row>
    <row r="6" spans="1:92">
      <c r="A6" s="988" t="s">
        <v>2527</v>
      </c>
    </row>
    <row r="7" spans="1:92">
      <c r="A7" s="697">
        <v>2006</v>
      </c>
      <c r="B7" s="697">
        <v>2007</v>
      </c>
      <c r="C7" s="697">
        <v>2008</v>
      </c>
      <c r="D7" s="697">
        <v>2009</v>
      </c>
      <c r="E7" s="697">
        <v>2010</v>
      </c>
      <c r="F7" s="697">
        <v>2011</v>
      </c>
      <c r="G7" s="697">
        <v>2012</v>
      </c>
    </row>
    <row r="8" spans="1:92">
      <c r="A8" s="297">
        <f>SUM($E4:$P4)</f>
        <v>19487</v>
      </c>
      <c r="B8" s="297">
        <f>SUM($Q4:$AB4)</f>
        <v>19709</v>
      </c>
      <c r="C8" s="297">
        <f>SUM($AC4:$AN4)</f>
        <v>22224</v>
      </c>
      <c r="D8" s="297">
        <f>SUM($AO4:$AZ4)</f>
        <v>13268</v>
      </c>
      <c r="E8" s="297">
        <f>SUM($BA4:$BL4)</f>
        <v>14189</v>
      </c>
      <c r="F8" s="297">
        <f>SUM($BM4:$BX4)</f>
        <v>14436</v>
      </c>
      <c r="G8" s="297">
        <f>SUM($BY4:$CJ4)</f>
        <v>14094</v>
      </c>
    </row>
    <row r="10" spans="1:92">
      <c r="A10" s="988" t="s">
        <v>2529</v>
      </c>
    </row>
    <row r="11" spans="1:92">
      <c r="A11" s="931" t="s">
        <v>2403</v>
      </c>
      <c r="B11" s="931" t="s">
        <v>2335</v>
      </c>
      <c r="C11" s="931" t="s">
        <v>2336</v>
      </c>
      <c r="D11" s="931" t="s">
        <v>2337</v>
      </c>
      <c r="E11" s="931" t="s">
        <v>2404</v>
      </c>
      <c r="F11" s="931" t="s">
        <v>2338</v>
      </c>
      <c r="G11" s="931" t="s">
        <v>2339</v>
      </c>
      <c r="H11" s="932" t="s">
        <v>2343</v>
      </c>
    </row>
    <row r="12" spans="1:92">
      <c r="A12" s="935">
        <v>50</v>
      </c>
      <c r="B12" s="936" t="s">
        <v>2355</v>
      </c>
      <c r="C12" s="936" t="s">
        <v>2356</v>
      </c>
      <c r="D12" s="936" t="s">
        <v>2357</v>
      </c>
      <c r="E12" s="936" t="s">
        <v>2359</v>
      </c>
      <c r="F12" s="939">
        <v>2502402</v>
      </c>
      <c r="G12" s="937">
        <v>4764858</v>
      </c>
      <c r="H12" s="936" t="s">
        <v>2363</v>
      </c>
    </row>
    <row r="13" spans="1:92">
      <c r="A13" s="1084" t="s">
        <v>2340</v>
      </c>
      <c r="B13" s="933" t="s">
        <v>2405</v>
      </c>
      <c r="C13" s="989" t="s">
        <v>2341</v>
      </c>
      <c r="D13" s="989" t="s">
        <v>2341</v>
      </c>
      <c r="E13" s="933" t="s">
        <v>2406</v>
      </c>
      <c r="F13" s="1084" t="s">
        <v>2347</v>
      </c>
      <c r="G13" s="1082" t="s">
        <v>2344</v>
      </c>
      <c r="H13" s="1084" t="s">
        <v>2345</v>
      </c>
      <c r="I13" s="1084" t="s">
        <v>611</v>
      </c>
      <c r="J13" s="1082" t="s">
        <v>2346</v>
      </c>
    </row>
    <row r="14" spans="1:92">
      <c r="A14" s="1085"/>
      <c r="B14" s="934" t="s">
        <v>2342</v>
      </c>
      <c r="C14" s="990" t="s">
        <v>2351</v>
      </c>
      <c r="D14" s="990" t="s">
        <v>2352</v>
      </c>
      <c r="E14" s="934" t="s">
        <v>2407</v>
      </c>
      <c r="F14" s="1085"/>
      <c r="G14" s="1083"/>
      <c r="H14" s="1085"/>
      <c r="I14" s="1085"/>
      <c r="J14" s="1083"/>
    </row>
    <row r="15" spans="1:92">
      <c r="A15" s="935" t="s">
        <v>2358</v>
      </c>
      <c r="B15" s="935" t="s">
        <v>2365</v>
      </c>
      <c r="C15" s="935" t="s">
        <v>2362</v>
      </c>
      <c r="D15" s="935">
        <v>22</v>
      </c>
      <c r="E15" s="935" t="s">
        <v>2408</v>
      </c>
      <c r="F15" s="936">
        <v>7765823</v>
      </c>
      <c r="G15" s="936" t="s">
        <v>2364</v>
      </c>
      <c r="H15" s="936" t="s">
        <v>2359</v>
      </c>
      <c r="I15" s="935" t="s">
        <v>42</v>
      </c>
      <c r="J15" s="938" t="s">
        <v>2361</v>
      </c>
    </row>
    <row r="16" spans="1:92">
      <c r="L16" s="991" t="s">
        <v>2409</v>
      </c>
      <c r="M16" s="50" t="s">
        <v>2360</v>
      </c>
    </row>
    <row r="18" spans="1:28">
      <c r="A18" s="1086" t="s">
        <v>2339</v>
      </c>
      <c r="B18" s="1089" t="s">
        <v>2343</v>
      </c>
      <c r="C18" s="992" t="s">
        <v>2410</v>
      </c>
      <c r="D18" s="1086" t="s">
        <v>2411</v>
      </c>
      <c r="E18" s="1086" t="s">
        <v>2412</v>
      </c>
      <c r="F18" s="1086" t="s">
        <v>2413</v>
      </c>
      <c r="G18" s="1086" t="s">
        <v>2354</v>
      </c>
      <c r="H18" s="992" t="s">
        <v>2414</v>
      </c>
      <c r="I18" s="992" t="s">
        <v>2415</v>
      </c>
      <c r="J18" s="992" t="s">
        <v>2416</v>
      </c>
      <c r="K18" s="993" t="s">
        <v>2410</v>
      </c>
      <c r="L18" s="993" t="s">
        <v>2410</v>
      </c>
      <c r="M18" s="993" t="s">
        <v>2417</v>
      </c>
      <c r="N18" s="992" t="s">
        <v>2418</v>
      </c>
      <c r="O18" s="992" t="s">
        <v>2418</v>
      </c>
      <c r="P18" s="993" t="s">
        <v>2410</v>
      </c>
      <c r="Q18" s="993" t="s">
        <v>2417</v>
      </c>
      <c r="R18" s="1086" t="s">
        <v>2348</v>
      </c>
      <c r="S18" s="992" t="s">
        <v>2349</v>
      </c>
      <c r="T18" s="992" t="s">
        <v>2350</v>
      </c>
      <c r="U18" s="1086" t="s">
        <v>2349</v>
      </c>
      <c r="V18" s="992" t="s">
        <v>2419</v>
      </c>
      <c r="W18" s="993" t="s">
        <v>2420</v>
      </c>
      <c r="X18" s="993" t="s">
        <v>2421</v>
      </c>
      <c r="Y18" s="993" t="s">
        <v>2422</v>
      </c>
      <c r="Z18" s="992" t="s">
        <v>2423</v>
      </c>
      <c r="AA18" s="992" t="s">
        <v>2424</v>
      </c>
      <c r="AB18" s="993" t="s">
        <v>2425</v>
      </c>
    </row>
    <row r="19" spans="1:28">
      <c r="A19" s="1087"/>
      <c r="B19" s="1090"/>
      <c r="C19" s="994" t="s">
        <v>2342</v>
      </c>
      <c r="D19" s="1087"/>
      <c r="E19" s="1087"/>
      <c r="F19" s="1087"/>
      <c r="G19" s="1087"/>
      <c r="H19" s="994" t="s">
        <v>2426</v>
      </c>
      <c r="I19" s="994" t="s">
        <v>2426</v>
      </c>
      <c r="J19" s="994" t="s">
        <v>2427</v>
      </c>
      <c r="K19" s="995" t="s">
        <v>2428</v>
      </c>
      <c r="L19" s="995" t="s">
        <v>2353</v>
      </c>
      <c r="M19" s="995" t="s">
        <v>2353</v>
      </c>
      <c r="N19" s="994" t="s">
        <v>2429</v>
      </c>
      <c r="O19" s="994" t="s">
        <v>2430</v>
      </c>
      <c r="P19" s="995" t="s">
        <v>2431</v>
      </c>
      <c r="Q19" s="995" t="s">
        <v>2431</v>
      </c>
      <c r="R19" s="1087"/>
      <c r="S19" s="994" t="s">
        <v>2351</v>
      </c>
      <c r="T19" s="994" t="s">
        <v>2349</v>
      </c>
      <c r="U19" s="1087"/>
      <c r="V19" s="994" t="s">
        <v>2432</v>
      </c>
      <c r="W19" s="995" t="s">
        <v>2433</v>
      </c>
      <c r="X19" s="995" t="s">
        <v>2433</v>
      </c>
      <c r="Y19" s="995" t="s">
        <v>2433</v>
      </c>
      <c r="Z19" s="994" t="s">
        <v>2434</v>
      </c>
      <c r="AA19" s="994" t="s">
        <v>2425</v>
      </c>
      <c r="AB19" s="995" t="s">
        <v>2435</v>
      </c>
    </row>
    <row r="20" spans="1:28">
      <c r="A20" s="1088"/>
      <c r="B20" s="1091"/>
      <c r="C20" s="996"/>
      <c r="D20" s="1088"/>
      <c r="E20" s="1088"/>
      <c r="F20" s="1088"/>
      <c r="G20" s="1088"/>
      <c r="H20" s="996" t="s">
        <v>2436</v>
      </c>
      <c r="I20" s="996" t="s">
        <v>2436</v>
      </c>
      <c r="J20" s="996"/>
      <c r="K20" s="997"/>
      <c r="L20" s="997"/>
      <c r="M20" s="997"/>
      <c r="N20" s="996"/>
      <c r="O20" s="996"/>
      <c r="P20" s="997"/>
      <c r="Q20" s="997"/>
      <c r="R20" s="1088"/>
      <c r="S20" s="996"/>
      <c r="T20" s="996"/>
      <c r="U20" s="1088"/>
      <c r="V20" s="996"/>
      <c r="W20" s="997"/>
      <c r="X20" s="997"/>
      <c r="Y20" s="997"/>
      <c r="Z20" s="996"/>
      <c r="AA20" s="996" t="s">
        <v>2353</v>
      </c>
      <c r="AB20" s="997"/>
    </row>
    <row r="21" spans="1:28">
      <c r="A21" s="998">
        <v>4764858</v>
      </c>
      <c r="B21" s="999" t="s">
        <v>2363</v>
      </c>
      <c r="C21" s="1000" t="s">
        <v>2437</v>
      </c>
      <c r="D21" s="1001" t="s">
        <v>2438</v>
      </c>
      <c r="E21" s="1002">
        <v>38623</v>
      </c>
      <c r="F21" s="1000">
        <v>10267</v>
      </c>
      <c r="G21" s="1000">
        <v>8</v>
      </c>
      <c r="H21" s="1000">
        <v>0</v>
      </c>
      <c r="I21" s="1000">
        <v>66</v>
      </c>
      <c r="J21" s="1000">
        <v>73</v>
      </c>
      <c r="K21" s="1003">
        <v>6767.46</v>
      </c>
      <c r="L21" s="1004">
        <v>6510</v>
      </c>
      <c r="M21" s="940">
        <v>651</v>
      </c>
      <c r="N21" s="1001"/>
      <c r="O21" s="1001"/>
      <c r="P21" s="998">
        <v>0</v>
      </c>
      <c r="Q21" s="998">
        <v>0</v>
      </c>
      <c r="R21" s="1000" t="s">
        <v>2360</v>
      </c>
      <c r="S21" s="1000" t="s">
        <v>593</v>
      </c>
      <c r="T21" s="1000">
        <v>0.25</v>
      </c>
      <c r="U21" s="1000">
        <v>1</v>
      </c>
      <c r="V21" s="1000"/>
      <c r="W21" s="1003">
        <v>14.5</v>
      </c>
      <c r="X21" s="1001"/>
      <c r="Y21" s="1001"/>
      <c r="Z21" s="1000">
        <v>1</v>
      </c>
      <c r="AA21" s="1000" t="s">
        <v>2439</v>
      </c>
      <c r="AB21" s="1003">
        <v>0.11210000000000001</v>
      </c>
    </row>
    <row r="22" spans="1:28">
      <c r="A22" s="998">
        <v>4764858</v>
      </c>
      <c r="B22" s="999" t="s">
        <v>2363</v>
      </c>
      <c r="C22" s="1000" t="s">
        <v>2437</v>
      </c>
      <c r="D22" s="1001" t="s">
        <v>2440</v>
      </c>
      <c r="E22" s="1002">
        <v>38652</v>
      </c>
      <c r="F22" s="1000">
        <v>11142</v>
      </c>
      <c r="G22" s="1000">
        <v>29</v>
      </c>
      <c r="H22" s="1000">
        <v>119</v>
      </c>
      <c r="I22" s="1000">
        <v>44</v>
      </c>
      <c r="J22" s="1000">
        <v>62</v>
      </c>
      <c r="K22" s="1003">
        <v>12353.76</v>
      </c>
      <c r="L22" s="1004">
        <v>8750</v>
      </c>
      <c r="M22" s="940">
        <v>875</v>
      </c>
      <c r="N22" s="1005">
        <v>0.34399999999999997</v>
      </c>
      <c r="O22" s="1001"/>
      <c r="P22" s="998">
        <v>0</v>
      </c>
      <c r="Q22" s="998">
        <v>0</v>
      </c>
      <c r="R22" s="1000" t="s">
        <v>2360</v>
      </c>
      <c r="S22" s="1000" t="s">
        <v>593</v>
      </c>
      <c r="T22" s="1000">
        <v>0.25</v>
      </c>
      <c r="U22" s="1000">
        <v>1</v>
      </c>
      <c r="V22" s="1000"/>
      <c r="W22" s="1003">
        <v>14.5</v>
      </c>
      <c r="X22" s="1001"/>
      <c r="Y22" s="1001"/>
      <c r="Z22" s="1000">
        <v>1</v>
      </c>
      <c r="AA22" s="1000" t="s">
        <v>2439</v>
      </c>
      <c r="AB22" s="1003">
        <v>0.11210000000000001</v>
      </c>
    </row>
    <row r="23" spans="1:28">
      <c r="A23" s="998">
        <v>4764858</v>
      </c>
      <c r="B23" s="999" t="s">
        <v>2363</v>
      </c>
      <c r="C23" s="1000" t="s">
        <v>2437</v>
      </c>
      <c r="D23" s="1001" t="s">
        <v>2441</v>
      </c>
      <c r="E23" s="1002">
        <v>38686</v>
      </c>
      <c r="F23" s="1000">
        <v>12749</v>
      </c>
      <c r="G23" s="1000">
        <v>34</v>
      </c>
      <c r="H23" s="1000">
        <v>500</v>
      </c>
      <c r="I23" s="1000">
        <v>0</v>
      </c>
      <c r="J23" s="1000">
        <v>50</v>
      </c>
      <c r="K23" s="1003">
        <v>27555.68</v>
      </c>
      <c r="L23" s="1004">
        <v>16720</v>
      </c>
      <c r="M23" s="1006">
        <v>1672</v>
      </c>
      <c r="N23" s="1005">
        <v>0.91100000000000003</v>
      </c>
      <c r="O23" s="1001"/>
      <c r="P23" s="998">
        <v>0</v>
      </c>
      <c r="Q23" s="998">
        <v>0</v>
      </c>
      <c r="R23" s="1000" t="s">
        <v>2360</v>
      </c>
      <c r="S23" s="1000" t="s">
        <v>593</v>
      </c>
      <c r="T23" s="1000">
        <v>0.25</v>
      </c>
      <c r="U23" s="1000">
        <v>1</v>
      </c>
      <c r="V23" s="1000"/>
      <c r="W23" s="1003">
        <v>14.5</v>
      </c>
      <c r="X23" s="1001"/>
      <c r="Y23" s="1001"/>
      <c r="Z23" s="1000">
        <v>1</v>
      </c>
      <c r="AA23" s="1000" t="s">
        <v>2439</v>
      </c>
      <c r="AB23" s="1003">
        <v>0.11210000000000001</v>
      </c>
    </row>
    <row r="24" spans="1:28">
      <c r="A24" s="998">
        <v>4764858</v>
      </c>
      <c r="B24" s="999" t="s">
        <v>2363</v>
      </c>
      <c r="C24" s="1000" t="s">
        <v>2437</v>
      </c>
      <c r="D24" s="1001" t="s">
        <v>2442</v>
      </c>
      <c r="E24" s="1002">
        <v>38715</v>
      </c>
      <c r="F24" s="1000">
        <v>14818</v>
      </c>
      <c r="G24" s="1000">
        <v>29</v>
      </c>
      <c r="H24" s="1000">
        <v>824</v>
      </c>
      <c r="I24" s="1000">
        <v>0</v>
      </c>
      <c r="J24" s="1000">
        <v>37</v>
      </c>
      <c r="K24" s="1003">
        <v>28902.16</v>
      </c>
      <c r="L24" s="1004">
        <v>20040</v>
      </c>
      <c r="M24" s="1006">
        <v>2004</v>
      </c>
      <c r="N24" s="1005">
        <v>0.19900000000000001</v>
      </c>
      <c r="O24" s="1001"/>
      <c r="P24" s="998">
        <v>0</v>
      </c>
      <c r="Q24" s="998">
        <v>0</v>
      </c>
      <c r="R24" s="1000" t="s">
        <v>2360</v>
      </c>
      <c r="S24" s="1000" t="s">
        <v>593</v>
      </c>
      <c r="T24" s="1000">
        <v>0.25</v>
      </c>
      <c r="U24" s="1000">
        <v>1</v>
      </c>
      <c r="V24" s="1000"/>
      <c r="W24" s="1003">
        <v>14.5</v>
      </c>
      <c r="X24" s="1001"/>
      <c r="Y24" s="1001"/>
      <c r="Z24" s="1000">
        <v>1</v>
      </c>
      <c r="AA24" s="1000" t="s">
        <v>2439</v>
      </c>
      <c r="AB24" s="1003">
        <v>0.11210000000000001</v>
      </c>
    </row>
    <row r="25" spans="1:28">
      <c r="A25" s="998">
        <v>4764858</v>
      </c>
      <c r="B25" s="999" t="s">
        <v>2363</v>
      </c>
      <c r="C25" s="1000" t="s">
        <v>2437</v>
      </c>
      <c r="D25" s="1001" t="s">
        <v>2443</v>
      </c>
      <c r="E25" s="1002">
        <v>38743</v>
      </c>
      <c r="F25" s="1000">
        <v>16530</v>
      </c>
      <c r="G25" s="1000">
        <v>28</v>
      </c>
      <c r="H25" s="1000">
        <v>591</v>
      </c>
      <c r="I25" s="1000">
        <v>0</v>
      </c>
      <c r="J25" s="1000">
        <v>44</v>
      </c>
      <c r="K25" s="1003">
        <v>30678.13</v>
      </c>
      <c r="L25" s="1004">
        <v>17120</v>
      </c>
      <c r="M25" s="1006">
        <v>1712</v>
      </c>
      <c r="N25" s="1005">
        <v>-0.14599999999999999</v>
      </c>
      <c r="O25" s="1001"/>
      <c r="P25" s="998">
        <v>0</v>
      </c>
      <c r="Q25" s="998">
        <v>0</v>
      </c>
      <c r="R25" s="1000" t="s">
        <v>2360</v>
      </c>
      <c r="S25" s="1000" t="s">
        <v>593</v>
      </c>
      <c r="T25" s="1000">
        <v>0.25</v>
      </c>
      <c r="U25" s="1000">
        <v>1</v>
      </c>
      <c r="V25" s="1000"/>
      <c r="W25" s="1003">
        <v>14.5</v>
      </c>
      <c r="X25" s="1001"/>
      <c r="Y25" s="1001"/>
      <c r="Z25" s="1000">
        <v>1</v>
      </c>
      <c r="AA25" s="1000" t="s">
        <v>2439</v>
      </c>
      <c r="AB25" s="1003">
        <v>0.11210000000000001</v>
      </c>
    </row>
    <row r="26" spans="1:28">
      <c r="A26" s="998">
        <v>4764858</v>
      </c>
      <c r="B26" s="999" t="s">
        <v>2363</v>
      </c>
      <c r="C26" s="1000" t="s">
        <v>2437</v>
      </c>
      <c r="D26" s="1001" t="s">
        <v>2444</v>
      </c>
      <c r="E26" s="1002">
        <v>38775</v>
      </c>
      <c r="F26" s="1000">
        <v>18654</v>
      </c>
      <c r="G26" s="1000">
        <v>32</v>
      </c>
      <c r="H26" s="1000">
        <v>793</v>
      </c>
      <c r="I26" s="1000">
        <v>0</v>
      </c>
      <c r="J26" s="1000">
        <v>40</v>
      </c>
      <c r="K26" s="1003">
        <v>26889.47</v>
      </c>
      <c r="L26" s="1004">
        <v>21240</v>
      </c>
      <c r="M26" s="1006">
        <v>2124</v>
      </c>
      <c r="N26" s="1005">
        <v>0.24099999999999999</v>
      </c>
      <c r="O26" s="1001"/>
      <c r="P26" s="998">
        <v>0</v>
      </c>
      <c r="Q26" s="998">
        <v>0</v>
      </c>
      <c r="R26" s="1000" t="s">
        <v>2360</v>
      </c>
      <c r="S26" s="1000" t="s">
        <v>593</v>
      </c>
      <c r="T26" s="1000">
        <v>0.25</v>
      </c>
      <c r="U26" s="1000">
        <v>1</v>
      </c>
      <c r="V26" s="1000"/>
      <c r="W26" s="1003">
        <v>14.5</v>
      </c>
      <c r="X26" s="1001"/>
      <c r="Y26" s="1001"/>
      <c r="Z26" s="1000">
        <v>1</v>
      </c>
      <c r="AA26" s="1000" t="s">
        <v>2439</v>
      </c>
      <c r="AB26" s="1003">
        <v>0.11210000000000001</v>
      </c>
    </row>
    <row r="27" spans="1:28">
      <c r="A27" s="998">
        <v>4764858</v>
      </c>
      <c r="B27" s="999" t="s">
        <v>2363</v>
      </c>
      <c r="C27" s="1000" t="s">
        <v>2437</v>
      </c>
      <c r="D27" s="1001" t="s">
        <v>2445</v>
      </c>
      <c r="E27" s="1002">
        <v>38805</v>
      </c>
      <c r="F27" s="1000">
        <v>20703</v>
      </c>
      <c r="G27" s="1000">
        <v>30</v>
      </c>
      <c r="H27" s="1000">
        <v>513</v>
      </c>
      <c r="I27" s="1000">
        <v>5</v>
      </c>
      <c r="J27" s="1000">
        <v>48</v>
      </c>
      <c r="K27" s="1003">
        <v>21992.080000000002</v>
      </c>
      <c r="L27" s="1004">
        <v>20490</v>
      </c>
      <c r="M27" s="1006">
        <v>2049</v>
      </c>
      <c r="N27" s="1005">
        <v>-3.5000000000000003E-2</v>
      </c>
      <c r="O27" s="1001"/>
      <c r="P27" s="998">
        <v>0</v>
      </c>
      <c r="Q27" s="998">
        <v>0</v>
      </c>
      <c r="R27" s="1000" t="s">
        <v>2360</v>
      </c>
      <c r="S27" s="1000" t="s">
        <v>593</v>
      </c>
      <c r="T27" s="1000">
        <v>0.25</v>
      </c>
      <c r="U27" s="1000">
        <v>1</v>
      </c>
      <c r="V27" s="1000"/>
      <c r="W27" s="1003">
        <v>14.5</v>
      </c>
      <c r="X27" s="1001"/>
      <c r="Y27" s="1001"/>
      <c r="Z27" s="1000">
        <v>1</v>
      </c>
      <c r="AA27" s="1000" t="s">
        <v>2439</v>
      </c>
      <c r="AB27" s="1003">
        <v>0.11210000000000001</v>
      </c>
    </row>
    <row r="28" spans="1:28">
      <c r="A28" s="998">
        <v>4764858</v>
      </c>
      <c r="B28" s="999" t="s">
        <v>2363</v>
      </c>
      <c r="C28" s="1000" t="s">
        <v>2437</v>
      </c>
      <c r="D28" s="1001" t="s">
        <v>2446</v>
      </c>
      <c r="E28" s="1002">
        <v>38835</v>
      </c>
      <c r="F28" s="1000">
        <v>22047</v>
      </c>
      <c r="G28" s="1000">
        <v>30</v>
      </c>
      <c r="H28" s="1000">
        <v>155</v>
      </c>
      <c r="I28" s="1000">
        <v>35</v>
      </c>
      <c r="J28" s="1000">
        <v>61</v>
      </c>
      <c r="K28" s="1003">
        <v>12312.1</v>
      </c>
      <c r="L28" s="1004">
        <v>13440</v>
      </c>
      <c r="M28" s="1006">
        <v>1344</v>
      </c>
      <c r="N28" s="1005">
        <v>-0.34399999999999997</v>
      </c>
      <c r="O28" s="1001"/>
      <c r="P28" s="998">
        <v>0</v>
      </c>
      <c r="Q28" s="998">
        <v>0</v>
      </c>
      <c r="R28" s="1000" t="s">
        <v>2360</v>
      </c>
      <c r="S28" s="1000" t="s">
        <v>593</v>
      </c>
      <c r="T28" s="1000">
        <v>0.25</v>
      </c>
      <c r="U28" s="1000">
        <v>1</v>
      </c>
      <c r="V28" s="1000"/>
      <c r="W28" s="1003">
        <v>14.5</v>
      </c>
      <c r="X28" s="1001"/>
      <c r="Y28" s="1001"/>
      <c r="Z28" s="1000">
        <v>1</v>
      </c>
      <c r="AA28" s="1000" t="s">
        <v>2439</v>
      </c>
      <c r="AB28" s="1003">
        <v>0.11210000000000001</v>
      </c>
    </row>
    <row r="29" spans="1:28">
      <c r="A29" s="998">
        <v>4764858</v>
      </c>
      <c r="B29" s="999" t="s">
        <v>2363</v>
      </c>
      <c r="C29" s="1000" t="s">
        <v>2437</v>
      </c>
      <c r="D29" s="1001" t="s">
        <v>2447</v>
      </c>
      <c r="E29" s="1002">
        <v>38867</v>
      </c>
      <c r="F29" s="1000">
        <v>23397</v>
      </c>
      <c r="G29" s="1000">
        <v>32</v>
      </c>
      <c r="H29" s="1000">
        <v>149</v>
      </c>
      <c r="I29" s="1000">
        <v>52</v>
      </c>
      <c r="J29" s="1000">
        <v>62</v>
      </c>
      <c r="K29" s="1003">
        <v>13321.45</v>
      </c>
      <c r="L29" s="1004">
        <v>13500</v>
      </c>
      <c r="M29" s="1006">
        <v>1350</v>
      </c>
      <c r="N29" s="1005">
        <v>4.0000000000000001E-3</v>
      </c>
      <c r="O29" s="1001"/>
      <c r="P29" s="998">
        <v>0</v>
      </c>
      <c r="Q29" s="998">
        <v>0</v>
      </c>
      <c r="R29" s="1000" t="s">
        <v>2360</v>
      </c>
      <c r="S29" s="1000" t="s">
        <v>593</v>
      </c>
      <c r="T29" s="1000">
        <v>0.25</v>
      </c>
      <c r="U29" s="1000">
        <v>1</v>
      </c>
      <c r="V29" s="1000"/>
      <c r="W29" s="1003">
        <v>14.5</v>
      </c>
      <c r="X29" s="1001"/>
      <c r="Y29" s="1001"/>
      <c r="Z29" s="1000">
        <v>1</v>
      </c>
      <c r="AA29" s="1000" t="s">
        <v>2439</v>
      </c>
      <c r="AB29" s="1003">
        <v>0.11210000000000001</v>
      </c>
    </row>
    <row r="30" spans="1:28">
      <c r="A30" s="998">
        <v>4764858</v>
      </c>
      <c r="B30" s="999" t="s">
        <v>2363</v>
      </c>
      <c r="C30" s="1000" t="s">
        <v>2437</v>
      </c>
      <c r="D30" s="1001" t="s">
        <v>2448</v>
      </c>
      <c r="E30" s="1002">
        <v>38895</v>
      </c>
      <c r="F30" s="1000">
        <v>24722</v>
      </c>
      <c r="G30" s="1000">
        <v>28</v>
      </c>
      <c r="H30" s="1000">
        <v>3</v>
      </c>
      <c r="I30" s="1000">
        <v>222</v>
      </c>
      <c r="J30" s="1000">
        <v>73</v>
      </c>
      <c r="K30" s="1003">
        <v>10917.93</v>
      </c>
      <c r="L30" s="1004">
        <v>13250</v>
      </c>
      <c r="M30" s="1006">
        <v>1325</v>
      </c>
      <c r="N30" s="1005">
        <v>-1.9E-2</v>
      </c>
      <c r="O30" s="1001"/>
      <c r="P30" s="998">
        <v>0</v>
      </c>
      <c r="Q30" s="998">
        <v>0</v>
      </c>
      <c r="R30" s="1000" t="s">
        <v>2360</v>
      </c>
      <c r="S30" s="1000" t="s">
        <v>593</v>
      </c>
      <c r="T30" s="1000">
        <v>0.25</v>
      </c>
      <c r="U30" s="1000">
        <v>1</v>
      </c>
      <c r="V30" s="1000"/>
      <c r="W30" s="1003">
        <v>14.5</v>
      </c>
      <c r="X30" s="1001"/>
      <c r="Y30" s="1001"/>
      <c r="Z30" s="1000">
        <v>1</v>
      </c>
      <c r="AA30" s="1000" t="s">
        <v>2439</v>
      </c>
      <c r="AB30" s="1003">
        <v>0.11210000000000001</v>
      </c>
    </row>
    <row r="31" spans="1:28">
      <c r="A31" s="998">
        <v>4764858</v>
      </c>
      <c r="B31" s="999" t="s">
        <v>2363</v>
      </c>
      <c r="C31" s="1000" t="s">
        <v>2437</v>
      </c>
      <c r="D31" s="1001" t="s">
        <v>2449</v>
      </c>
      <c r="E31" s="1002">
        <v>38930</v>
      </c>
      <c r="F31" s="1000">
        <v>25986</v>
      </c>
      <c r="G31" s="1000">
        <v>35</v>
      </c>
      <c r="H31" s="1000">
        <v>0</v>
      </c>
      <c r="I31" s="1000">
        <v>428</v>
      </c>
      <c r="J31" s="1000">
        <v>77</v>
      </c>
      <c r="K31" s="1003">
        <v>10534.77</v>
      </c>
      <c r="L31" s="1004">
        <v>12640</v>
      </c>
      <c r="M31" s="1006">
        <v>1264</v>
      </c>
      <c r="N31" s="1005">
        <v>-4.5999999999999999E-2</v>
      </c>
      <c r="O31" s="1001"/>
      <c r="P31" s="998">
        <v>0</v>
      </c>
      <c r="Q31" s="998">
        <v>0</v>
      </c>
      <c r="R31" s="1000" t="s">
        <v>2360</v>
      </c>
      <c r="S31" s="1000" t="s">
        <v>593</v>
      </c>
      <c r="T31" s="1000">
        <v>0.25</v>
      </c>
      <c r="U31" s="1000">
        <v>1</v>
      </c>
      <c r="V31" s="1000"/>
      <c r="W31" s="1003">
        <v>14.5</v>
      </c>
      <c r="X31" s="1001"/>
      <c r="Y31" s="1001"/>
      <c r="Z31" s="1000">
        <v>1</v>
      </c>
      <c r="AA31" s="1000" t="s">
        <v>2439</v>
      </c>
      <c r="AB31" s="1003">
        <v>0.11210000000000001</v>
      </c>
    </row>
    <row r="32" spans="1:28">
      <c r="A32" s="1007">
        <v>4764858</v>
      </c>
      <c r="B32" s="1008" t="s">
        <v>2363</v>
      </c>
      <c r="C32" s="1009" t="s">
        <v>2437</v>
      </c>
      <c r="D32" s="1010" t="s">
        <v>2450</v>
      </c>
      <c r="E32" s="1011">
        <v>38961</v>
      </c>
      <c r="F32" s="1009">
        <v>27044</v>
      </c>
      <c r="G32" s="1009">
        <v>31</v>
      </c>
      <c r="H32" s="1009">
        <v>0</v>
      </c>
      <c r="I32" s="1009">
        <v>421</v>
      </c>
      <c r="J32" s="1009">
        <v>79</v>
      </c>
      <c r="K32" s="1012">
        <v>9772.44</v>
      </c>
      <c r="L32" s="1004">
        <v>10580</v>
      </c>
      <c r="M32" s="1006">
        <v>1058</v>
      </c>
      <c r="N32" s="1010"/>
      <c r="O32" s="1013">
        <v>0.625</v>
      </c>
      <c r="P32" s="1007">
        <v>0</v>
      </c>
      <c r="Q32" s="1007">
        <v>0</v>
      </c>
      <c r="R32" s="1009" t="s">
        <v>2360</v>
      </c>
      <c r="S32" s="1009" t="s">
        <v>593</v>
      </c>
      <c r="T32" s="1009">
        <v>0.25</v>
      </c>
      <c r="U32" s="1009">
        <v>1</v>
      </c>
      <c r="V32" s="1009"/>
      <c r="W32" s="1012">
        <v>14.5</v>
      </c>
      <c r="X32" s="1010"/>
      <c r="Y32" s="1010"/>
      <c r="Z32" s="1009">
        <v>1</v>
      </c>
      <c r="AA32" s="1009" t="s">
        <v>2439</v>
      </c>
      <c r="AB32" s="1012">
        <v>0.11210000000000001</v>
      </c>
    </row>
    <row r="33" spans="1:28">
      <c r="A33" s="998">
        <v>4764858</v>
      </c>
      <c r="B33" s="999" t="s">
        <v>2363</v>
      </c>
      <c r="C33" s="1000" t="s">
        <v>2437</v>
      </c>
      <c r="D33" s="1001" t="s">
        <v>2450</v>
      </c>
      <c r="E33" s="1002">
        <v>38988</v>
      </c>
      <c r="F33" s="1000">
        <v>28190</v>
      </c>
      <c r="G33" s="1000">
        <v>27</v>
      </c>
      <c r="H33" s="1000">
        <v>44</v>
      </c>
      <c r="I33" s="1000">
        <v>77</v>
      </c>
      <c r="J33" s="1000">
        <v>66</v>
      </c>
      <c r="K33" s="1003">
        <v>10584.06</v>
      </c>
      <c r="L33" s="1004">
        <v>11460</v>
      </c>
      <c r="M33" s="1006">
        <v>1146</v>
      </c>
      <c r="N33" s="1001"/>
      <c r="O33" s="1005">
        <v>8.3000000000000004E-2</v>
      </c>
      <c r="P33" s="998">
        <v>0</v>
      </c>
      <c r="Q33" s="998">
        <v>0</v>
      </c>
      <c r="R33" s="1000" t="s">
        <v>2360</v>
      </c>
      <c r="S33" s="1000" t="s">
        <v>593</v>
      </c>
      <c r="T33" s="1000">
        <v>0.25</v>
      </c>
      <c r="U33" s="1000">
        <v>1</v>
      </c>
      <c r="V33" s="1000"/>
      <c r="W33" s="1003">
        <v>14.5</v>
      </c>
      <c r="X33" s="1001"/>
      <c r="Y33" s="1001"/>
      <c r="Z33" s="1000">
        <v>1</v>
      </c>
      <c r="AA33" s="1000" t="s">
        <v>2439</v>
      </c>
      <c r="AB33" s="1003">
        <v>0.11210000000000001</v>
      </c>
    </row>
    <row r="34" spans="1:28">
      <c r="A34" s="1007">
        <v>4764858</v>
      </c>
      <c r="B34" s="1008" t="s">
        <v>2363</v>
      </c>
      <c r="C34" s="1009" t="s">
        <v>2437</v>
      </c>
      <c r="D34" s="1010" t="s">
        <v>2451</v>
      </c>
      <c r="E34" s="1011">
        <v>39017</v>
      </c>
      <c r="F34" s="1009">
        <v>29637</v>
      </c>
      <c r="G34" s="1009">
        <v>29</v>
      </c>
      <c r="H34" s="1009">
        <v>277</v>
      </c>
      <c r="I34" s="1009">
        <v>17</v>
      </c>
      <c r="J34" s="1009">
        <v>56</v>
      </c>
      <c r="K34" s="1012">
        <v>14102.5</v>
      </c>
      <c r="L34" s="1004">
        <v>14470</v>
      </c>
      <c r="M34" s="1006">
        <v>1447</v>
      </c>
      <c r="N34" s="1013">
        <v>0.26300000000000001</v>
      </c>
      <c r="O34" s="1013">
        <v>0.65400000000000003</v>
      </c>
      <c r="P34" s="1007">
        <v>0</v>
      </c>
      <c r="Q34" s="1007">
        <v>0</v>
      </c>
      <c r="R34" s="1009" t="s">
        <v>2360</v>
      </c>
      <c r="S34" s="1009" t="s">
        <v>593</v>
      </c>
      <c r="T34" s="1009">
        <v>0.25</v>
      </c>
      <c r="U34" s="1009">
        <v>1</v>
      </c>
      <c r="V34" s="1009"/>
      <c r="W34" s="1012">
        <v>14.5</v>
      </c>
      <c r="X34" s="1010"/>
      <c r="Y34" s="1010"/>
      <c r="Z34" s="1009">
        <v>1</v>
      </c>
      <c r="AA34" s="1009" t="s">
        <v>2439</v>
      </c>
      <c r="AB34" s="1012">
        <v>0.11210000000000001</v>
      </c>
    </row>
    <row r="35" spans="1:28">
      <c r="A35" s="1007">
        <v>4764858</v>
      </c>
      <c r="B35" s="1008" t="s">
        <v>2363</v>
      </c>
      <c r="C35" s="1009" t="s">
        <v>2437</v>
      </c>
      <c r="D35" s="1010" t="s">
        <v>2452</v>
      </c>
      <c r="E35" s="1011">
        <v>39049</v>
      </c>
      <c r="F35" s="1009">
        <v>31951</v>
      </c>
      <c r="G35" s="1009">
        <v>32</v>
      </c>
      <c r="H35" s="1009">
        <v>458</v>
      </c>
      <c r="I35" s="1009">
        <v>1</v>
      </c>
      <c r="J35" s="1009">
        <v>51</v>
      </c>
      <c r="K35" s="1012">
        <v>22543.599999999999</v>
      </c>
      <c r="L35" s="1004">
        <v>23140</v>
      </c>
      <c r="M35" s="1006">
        <v>2314</v>
      </c>
      <c r="N35" s="1013">
        <v>0.59899999999999998</v>
      </c>
      <c r="O35" s="1013">
        <v>0.38400000000000001</v>
      </c>
      <c r="P35" s="1007">
        <v>0</v>
      </c>
      <c r="Q35" s="1007">
        <v>0</v>
      </c>
      <c r="R35" s="1009" t="s">
        <v>2360</v>
      </c>
      <c r="S35" s="1009" t="s">
        <v>593</v>
      </c>
      <c r="T35" s="1009">
        <v>0.25</v>
      </c>
      <c r="U35" s="1009">
        <v>1</v>
      </c>
      <c r="V35" s="1009"/>
      <c r="W35" s="1012">
        <v>14.5</v>
      </c>
      <c r="X35" s="1010"/>
      <c r="Y35" s="1010"/>
      <c r="Z35" s="1009">
        <v>1</v>
      </c>
      <c r="AA35" s="1009" t="s">
        <v>2439</v>
      </c>
      <c r="AB35" s="1012">
        <v>0.11210000000000001</v>
      </c>
    </row>
    <row r="36" spans="1:28">
      <c r="A36" s="1007">
        <v>4764858</v>
      </c>
      <c r="B36" s="1008" t="s">
        <v>2363</v>
      </c>
      <c r="C36" s="1009" t="s">
        <v>2437</v>
      </c>
      <c r="D36" s="1010" t="s">
        <v>2453</v>
      </c>
      <c r="E36" s="1011">
        <v>39080</v>
      </c>
      <c r="F36" s="1009">
        <v>34305</v>
      </c>
      <c r="G36" s="1009">
        <v>31</v>
      </c>
      <c r="H36" s="1009">
        <v>578</v>
      </c>
      <c r="I36" s="1009">
        <v>0</v>
      </c>
      <c r="J36" s="1009">
        <v>46</v>
      </c>
      <c r="K36" s="1012">
        <v>27450.37</v>
      </c>
      <c r="L36" s="1004">
        <v>23540</v>
      </c>
      <c r="M36" s="1006">
        <v>2354</v>
      </c>
      <c r="N36" s="1013">
        <v>1.7000000000000001E-2</v>
      </c>
      <c r="O36" s="1013">
        <v>0.17499999999999999</v>
      </c>
      <c r="P36" s="1007">
        <v>0</v>
      </c>
      <c r="Q36" s="1007">
        <v>0</v>
      </c>
      <c r="R36" s="1009" t="s">
        <v>2360</v>
      </c>
      <c r="S36" s="1009" t="s">
        <v>593</v>
      </c>
      <c r="T36" s="1009">
        <v>0.25</v>
      </c>
      <c r="U36" s="1009">
        <v>1</v>
      </c>
      <c r="V36" s="1009"/>
      <c r="W36" s="1012">
        <v>14.5</v>
      </c>
      <c r="X36" s="1010"/>
      <c r="Y36" s="1010"/>
      <c r="Z36" s="1009">
        <v>1</v>
      </c>
      <c r="AA36" s="1009" t="s">
        <v>2439</v>
      </c>
      <c r="AB36" s="1012">
        <v>0.11210000000000001</v>
      </c>
    </row>
    <row r="37" spans="1:28">
      <c r="A37" s="1007">
        <v>4764858</v>
      </c>
      <c r="B37" s="1008" t="s">
        <v>2363</v>
      </c>
      <c r="C37" s="1009" t="s">
        <v>2437</v>
      </c>
      <c r="D37" s="1010" t="s">
        <v>2454</v>
      </c>
      <c r="E37" s="1011">
        <v>39108</v>
      </c>
      <c r="F37" s="1009">
        <v>36283</v>
      </c>
      <c r="G37" s="1009">
        <v>28</v>
      </c>
      <c r="H37" s="1009">
        <v>603</v>
      </c>
      <c r="I37" s="1009">
        <v>0</v>
      </c>
      <c r="J37" s="1009">
        <v>43</v>
      </c>
      <c r="K37" s="1012">
        <v>20348.34</v>
      </c>
      <c r="L37" s="1004">
        <v>19780</v>
      </c>
      <c r="M37" s="1006">
        <v>1978</v>
      </c>
      <c r="N37" s="1013">
        <v>-0.16</v>
      </c>
      <c r="O37" s="1013">
        <v>0.155</v>
      </c>
      <c r="P37" s="1007">
        <v>0</v>
      </c>
      <c r="Q37" s="1007">
        <v>0</v>
      </c>
      <c r="R37" s="1009" t="s">
        <v>2360</v>
      </c>
      <c r="S37" s="1009" t="s">
        <v>593</v>
      </c>
      <c r="T37" s="1009">
        <v>0.25</v>
      </c>
      <c r="U37" s="1009">
        <v>1</v>
      </c>
      <c r="V37" s="1009"/>
      <c r="W37" s="1012">
        <v>12.5</v>
      </c>
      <c r="X37" s="1010"/>
      <c r="Y37" s="1010"/>
      <c r="Z37" s="1009">
        <v>1</v>
      </c>
      <c r="AA37" s="1009" t="s">
        <v>2439</v>
      </c>
      <c r="AB37" s="1012">
        <v>0.15920000000000001</v>
      </c>
    </row>
    <row r="38" spans="1:28">
      <c r="A38" s="1007">
        <v>4764858</v>
      </c>
      <c r="B38" s="1008" t="s">
        <v>2363</v>
      </c>
      <c r="C38" s="1009" t="s">
        <v>2437</v>
      </c>
      <c r="D38" s="1010" t="s">
        <v>2455</v>
      </c>
      <c r="E38" s="1011">
        <v>39141</v>
      </c>
      <c r="F38" s="1009">
        <v>39039</v>
      </c>
      <c r="G38" s="1009">
        <v>33</v>
      </c>
      <c r="H38" s="1009">
        <v>1017</v>
      </c>
      <c r="I38" s="1009">
        <v>0</v>
      </c>
      <c r="J38" s="1009">
        <v>34</v>
      </c>
      <c r="K38" s="1012">
        <v>27051.61</v>
      </c>
      <c r="L38" s="1004">
        <v>27560</v>
      </c>
      <c r="M38" s="1006">
        <v>2756</v>
      </c>
      <c r="N38" s="1013">
        <v>0.39300000000000002</v>
      </c>
      <c r="O38" s="1013">
        <v>0.29799999999999999</v>
      </c>
      <c r="P38" s="1007">
        <v>0</v>
      </c>
      <c r="Q38" s="1007">
        <v>0</v>
      </c>
      <c r="R38" s="1009" t="s">
        <v>2360</v>
      </c>
      <c r="S38" s="1009" t="s">
        <v>593</v>
      </c>
      <c r="T38" s="1009">
        <v>0.25</v>
      </c>
      <c r="U38" s="1009">
        <v>1</v>
      </c>
      <c r="V38" s="1009"/>
      <c r="W38" s="1012">
        <v>12.5</v>
      </c>
      <c r="X38" s="1010"/>
      <c r="Y38" s="1010"/>
      <c r="Z38" s="1009">
        <v>1</v>
      </c>
      <c r="AA38" s="1009" t="s">
        <v>2439</v>
      </c>
      <c r="AB38" s="1012">
        <v>0.15920000000000001</v>
      </c>
    </row>
    <row r="39" spans="1:28">
      <c r="A39" s="998">
        <v>4764858</v>
      </c>
      <c r="B39" s="999" t="s">
        <v>2363</v>
      </c>
      <c r="C39" s="1000" t="s">
        <v>2437</v>
      </c>
      <c r="D39" s="1001" t="s">
        <v>2456</v>
      </c>
      <c r="E39" s="1002">
        <v>39171</v>
      </c>
      <c r="F39" s="1000">
        <v>40855</v>
      </c>
      <c r="G39" s="1000">
        <v>30</v>
      </c>
      <c r="H39" s="1000">
        <v>396</v>
      </c>
      <c r="I39" s="1000">
        <v>34</v>
      </c>
      <c r="J39" s="1000">
        <v>53</v>
      </c>
      <c r="K39" s="1003">
        <v>18878.919999999998</v>
      </c>
      <c r="L39" s="1004">
        <v>18160</v>
      </c>
      <c r="M39" s="1006">
        <v>1816</v>
      </c>
      <c r="N39" s="1005">
        <v>-0.34100000000000003</v>
      </c>
      <c r="O39" s="1005">
        <v>-0.114</v>
      </c>
      <c r="P39" s="998">
        <v>0</v>
      </c>
      <c r="Q39" s="998">
        <v>0</v>
      </c>
      <c r="R39" s="1000" t="s">
        <v>2360</v>
      </c>
      <c r="S39" s="1000" t="s">
        <v>593</v>
      </c>
      <c r="T39" s="1000">
        <v>0.25</v>
      </c>
      <c r="U39" s="1000">
        <v>1</v>
      </c>
      <c r="V39" s="1000"/>
      <c r="W39" s="1003">
        <v>12.5</v>
      </c>
      <c r="X39" s="1001"/>
      <c r="Y39" s="1001"/>
      <c r="Z39" s="1000">
        <v>1</v>
      </c>
      <c r="AA39" s="1000" t="s">
        <v>2439</v>
      </c>
      <c r="AB39" s="1003">
        <v>0.15920000000000001</v>
      </c>
    </row>
    <row r="40" spans="1:28">
      <c r="A40" s="1007">
        <v>4764858</v>
      </c>
      <c r="B40" s="1008" t="s">
        <v>2363</v>
      </c>
      <c r="C40" s="1009" t="s">
        <v>2437</v>
      </c>
      <c r="D40" s="1010" t="s">
        <v>2457</v>
      </c>
      <c r="E40" s="1011">
        <v>39203</v>
      </c>
      <c r="F40" s="1009">
        <v>42439</v>
      </c>
      <c r="G40" s="1009">
        <v>32</v>
      </c>
      <c r="H40" s="1009">
        <v>313</v>
      </c>
      <c r="I40" s="1009">
        <v>34</v>
      </c>
      <c r="J40" s="1009">
        <v>56</v>
      </c>
      <c r="K40" s="1012">
        <v>15733.7</v>
      </c>
      <c r="L40" s="1004">
        <v>15840</v>
      </c>
      <c r="M40" s="1006">
        <v>1584</v>
      </c>
      <c r="N40" s="1013">
        <v>-0.128</v>
      </c>
      <c r="O40" s="1013">
        <v>0.17899999999999999</v>
      </c>
      <c r="P40" s="1007">
        <v>0</v>
      </c>
      <c r="Q40" s="1007">
        <v>0</v>
      </c>
      <c r="R40" s="1009" t="s">
        <v>2360</v>
      </c>
      <c r="S40" s="1009" t="s">
        <v>593</v>
      </c>
      <c r="T40" s="1009">
        <v>0.25</v>
      </c>
      <c r="U40" s="1009">
        <v>1</v>
      </c>
      <c r="V40" s="1009"/>
      <c r="W40" s="1012">
        <v>12.5</v>
      </c>
      <c r="X40" s="1010"/>
      <c r="Y40" s="1010"/>
      <c r="Z40" s="1009">
        <v>1</v>
      </c>
      <c r="AA40" s="1009" t="s">
        <v>2439</v>
      </c>
      <c r="AB40" s="1012">
        <v>0.15920000000000001</v>
      </c>
    </row>
    <row r="41" spans="1:28">
      <c r="A41" s="998">
        <v>4764858</v>
      </c>
      <c r="B41" s="999" t="s">
        <v>2363</v>
      </c>
      <c r="C41" s="1000" t="s">
        <v>2437</v>
      </c>
      <c r="D41" s="1001" t="s">
        <v>2458</v>
      </c>
      <c r="E41" s="1002">
        <v>39232</v>
      </c>
      <c r="F41" s="1000">
        <v>43806</v>
      </c>
      <c r="G41" s="1000">
        <v>29</v>
      </c>
      <c r="H41" s="1000">
        <v>76</v>
      </c>
      <c r="I41" s="1000">
        <v>141</v>
      </c>
      <c r="J41" s="1000">
        <v>67</v>
      </c>
      <c r="K41" s="1003">
        <v>14468.52</v>
      </c>
      <c r="L41" s="1004">
        <v>13670</v>
      </c>
      <c r="M41" s="1006">
        <v>1367</v>
      </c>
      <c r="N41" s="1005">
        <v>-0.13700000000000001</v>
      </c>
      <c r="O41" s="1005">
        <v>1.2999999999999999E-2</v>
      </c>
      <c r="P41" s="998">
        <v>0</v>
      </c>
      <c r="Q41" s="998">
        <v>0</v>
      </c>
      <c r="R41" s="1000" t="s">
        <v>2360</v>
      </c>
      <c r="S41" s="1000" t="s">
        <v>593</v>
      </c>
      <c r="T41" s="1000">
        <v>0.25</v>
      </c>
      <c r="U41" s="1000">
        <v>1</v>
      </c>
      <c r="V41" s="1000"/>
      <c r="W41" s="1003">
        <v>12.5</v>
      </c>
      <c r="X41" s="1001"/>
      <c r="Y41" s="1001"/>
      <c r="Z41" s="1000">
        <v>1</v>
      </c>
      <c r="AA41" s="1000" t="s">
        <v>2439</v>
      </c>
      <c r="AB41" s="1003">
        <v>0.15920000000000001</v>
      </c>
    </row>
    <row r="42" spans="1:28">
      <c r="A42" s="1007">
        <v>4764858</v>
      </c>
      <c r="B42" s="1008" t="s">
        <v>2363</v>
      </c>
      <c r="C42" s="1009" t="s">
        <v>2437</v>
      </c>
      <c r="D42" s="1010" t="s">
        <v>2459</v>
      </c>
      <c r="E42" s="1011">
        <v>39258</v>
      </c>
      <c r="F42" s="1009">
        <v>44826</v>
      </c>
      <c r="G42" s="1009">
        <v>26</v>
      </c>
      <c r="H42" s="1009">
        <v>4</v>
      </c>
      <c r="I42" s="1009">
        <v>231</v>
      </c>
      <c r="J42" s="1009">
        <v>74</v>
      </c>
      <c r="K42" s="1012">
        <v>11051.96</v>
      </c>
      <c r="L42" s="1004">
        <v>10200</v>
      </c>
      <c r="M42" s="1006">
        <v>1020</v>
      </c>
      <c r="N42" s="1013">
        <v>-0.254</v>
      </c>
      <c r="O42" s="1013">
        <v>-0.23</v>
      </c>
      <c r="P42" s="1007">
        <v>0</v>
      </c>
      <c r="Q42" s="1007">
        <v>0</v>
      </c>
      <c r="R42" s="1009" t="s">
        <v>2360</v>
      </c>
      <c r="S42" s="1009" t="s">
        <v>593</v>
      </c>
      <c r="T42" s="1009">
        <v>0.25</v>
      </c>
      <c r="U42" s="1009">
        <v>1</v>
      </c>
      <c r="V42" s="1009"/>
      <c r="W42" s="1012">
        <v>12.5</v>
      </c>
      <c r="X42" s="1010"/>
      <c r="Y42" s="1010"/>
      <c r="Z42" s="1009">
        <v>1</v>
      </c>
      <c r="AA42" s="1009" t="s">
        <v>2439</v>
      </c>
      <c r="AB42" s="1012">
        <v>0.15920000000000001</v>
      </c>
    </row>
    <row r="43" spans="1:28">
      <c r="A43" s="998">
        <v>4764858</v>
      </c>
      <c r="B43" s="999" t="s">
        <v>2363</v>
      </c>
      <c r="C43" s="1000" t="s">
        <v>2437</v>
      </c>
      <c r="D43" s="1001" t="s">
        <v>2460</v>
      </c>
      <c r="E43" s="1002">
        <v>39290</v>
      </c>
      <c r="F43" s="1000">
        <v>45980</v>
      </c>
      <c r="G43" s="1000">
        <v>32</v>
      </c>
      <c r="H43" s="1000">
        <v>0</v>
      </c>
      <c r="I43" s="1000">
        <v>360</v>
      </c>
      <c r="J43" s="1000">
        <v>76</v>
      </c>
      <c r="K43" s="1003">
        <v>12634.95</v>
      </c>
      <c r="L43" s="1004">
        <v>11540</v>
      </c>
      <c r="M43" s="1006">
        <v>1154</v>
      </c>
      <c r="N43" s="1005">
        <v>0.13100000000000001</v>
      </c>
      <c r="O43" s="1005">
        <v>-8.6999999999999994E-2</v>
      </c>
      <c r="P43" s="998">
        <v>0</v>
      </c>
      <c r="Q43" s="998">
        <v>0</v>
      </c>
      <c r="R43" s="1000" t="s">
        <v>2360</v>
      </c>
      <c r="S43" s="1000" t="s">
        <v>593</v>
      </c>
      <c r="T43" s="1000">
        <v>0.25</v>
      </c>
      <c r="U43" s="1000">
        <v>1</v>
      </c>
      <c r="V43" s="1000"/>
      <c r="W43" s="1003">
        <v>12.5</v>
      </c>
      <c r="X43" s="1001"/>
      <c r="Y43" s="1001"/>
      <c r="Z43" s="1000">
        <v>1</v>
      </c>
      <c r="AA43" s="1000" t="s">
        <v>2439</v>
      </c>
      <c r="AB43" s="1003">
        <v>0.15920000000000001</v>
      </c>
    </row>
    <row r="44" spans="1:28">
      <c r="A44" s="998">
        <v>4764858</v>
      </c>
      <c r="B44" s="999" t="s">
        <v>2363</v>
      </c>
      <c r="C44" s="1000" t="s">
        <v>2437</v>
      </c>
      <c r="D44" s="1001" t="s">
        <v>2461</v>
      </c>
      <c r="E44" s="1002">
        <v>39323</v>
      </c>
      <c r="F44" s="1000">
        <v>47050</v>
      </c>
      <c r="G44" s="1000">
        <v>33</v>
      </c>
      <c r="H44" s="1000">
        <v>0</v>
      </c>
      <c r="I44" s="1000">
        <v>553</v>
      </c>
      <c r="J44" s="1000">
        <v>82</v>
      </c>
      <c r="K44" s="1003">
        <v>10121.86</v>
      </c>
      <c r="L44" s="1004">
        <v>10700</v>
      </c>
      <c r="M44" s="1006">
        <v>1070</v>
      </c>
      <c r="N44" s="1005">
        <v>-7.2999999999999995E-2</v>
      </c>
      <c r="O44" s="1001"/>
      <c r="P44" s="998">
        <v>0</v>
      </c>
      <c r="Q44" s="998">
        <v>0</v>
      </c>
      <c r="R44" s="1000" t="s">
        <v>2360</v>
      </c>
      <c r="S44" s="1000" t="s">
        <v>593</v>
      </c>
      <c r="T44" s="1000">
        <v>0.25</v>
      </c>
      <c r="U44" s="1000">
        <v>1</v>
      </c>
      <c r="V44" s="1000"/>
      <c r="W44" s="1003">
        <v>12.5</v>
      </c>
      <c r="X44" s="1001"/>
      <c r="Y44" s="1001"/>
      <c r="Z44" s="1000">
        <v>1</v>
      </c>
      <c r="AA44" s="1000" t="s">
        <v>2439</v>
      </c>
      <c r="AB44" s="1003">
        <v>0.15920000000000001</v>
      </c>
    </row>
    <row r="45" spans="1:28">
      <c r="A45" s="1007">
        <v>4764858</v>
      </c>
      <c r="B45" s="1008" t="s">
        <v>2363</v>
      </c>
      <c r="C45" s="1009" t="s">
        <v>2437</v>
      </c>
      <c r="D45" s="1010" t="s">
        <v>2462</v>
      </c>
      <c r="E45" s="1011">
        <v>39351</v>
      </c>
      <c r="F45" s="1009">
        <v>47966</v>
      </c>
      <c r="G45" s="1009">
        <v>28</v>
      </c>
      <c r="H45" s="1009">
        <v>16</v>
      </c>
      <c r="I45" s="1009">
        <v>244</v>
      </c>
      <c r="J45" s="1009">
        <v>73</v>
      </c>
      <c r="K45" s="1012">
        <v>8511.15</v>
      </c>
      <c r="L45" s="1004">
        <v>9160</v>
      </c>
      <c r="M45" s="940">
        <v>916</v>
      </c>
      <c r="N45" s="1013">
        <v>-0.14399999999999999</v>
      </c>
      <c r="O45" s="1013">
        <v>-0.20100000000000001</v>
      </c>
      <c r="P45" s="1007">
        <v>0</v>
      </c>
      <c r="Q45" s="1007">
        <v>0</v>
      </c>
      <c r="R45" s="1009" t="s">
        <v>2360</v>
      </c>
      <c r="S45" s="1009" t="s">
        <v>593</v>
      </c>
      <c r="T45" s="1009">
        <v>0.25</v>
      </c>
      <c r="U45" s="1009">
        <v>1</v>
      </c>
      <c r="V45" s="1009"/>
      <c r="W45" s="1012">
        <v>12.5</v>
      </c>
      <c r="X45" s="1010"/>
      <c r="Y45" s="1010"/>
      <c r="Z45" s="1009">
        <v>1</v>
      </c>
      <c r="AA45" s="1009" t="s">
        <v>2439</v>
      </c>
      <c r="AB45" s="1012">
        <v>0.15920000000000001</v>
      </c>
    </row>
    <row r="46" spans="1:28">
      <c r="A46" s="998">
        <v>4764858</v>
      </c>
      <c r="B46" s="999" t="s">
        <v>2363</v>
      </c>
      <c r="C46" s="1000" t="s">
        <v>2437</v>
      </c>
      <c r="D46" s="1001" t="s">
        <v>2463</v>
      </c>
      <c r="E46" s="1002">
        <v>39384</v>
      </c>
      <c r="F46" s="1000">
        <v>49398</v>
      </c>
      <c r="G46" s="1000">
        <v>33</v>
      </c>
      <c r="H46" s="1000">
        <v>95</v>
      </c>
      <c r="I46" s="1000">
        <v>130</v>
      </c>
      <c r="J46" s="1000">
        <v>66</v>
      </c>
      <c r="K46" s="1003">
        <v>13397.4</v>
      </c>
      <c r="L46" s="1004">
        <v>14320</v>
      </c>
      <c r="M46" s="1006">
        <v>1432</v>
      </c>
      <c r="N46" s="1005">
        <v>0.56299999999999994</v>
      </c>
      <c r="O46" s="1005">
        <v>-0.01</v>
      </c>
      <c r="P46" s="998">
        <v>0</v>
      </c>
      <c r="Q46" s="998">
        <v>0</v>
      </c>
      <c r="R46" s="1000" t="s">
        <v>2360</v>
      </c>
      <c r="S46" s="1000" t="s">
        <v>593</v>
      </c>
      <c r="T46" s="1000">
        <v>0.25</v>
      </c>
      <c r="U46" s="1000">
        <v>1</v>
      </c>
      <c r="V46" s="1000"/>
      <c r="W46" s="1003">
        <v>12.5</v>
      </c>
      <c r="X46" s="1001"/>
      <c r="Y46" s="1001"/>
      <c r="Z46" s="1000">
        <v>1</v>
      </c>
      <c r="AA46" s="1000" t="s">
        <v>2439</v>
      </c>
      <c r="AB46" s="1003">
        <v>0.15920000000000001</v>
      </c>
    </row>
    <row r="47" spans="1:28">
      <c r="A47" s="998">
        <v>4764858</v>
      </c>
      <c r="B47" s="999" t="s">
        <v>2363</v>
      </c>
      <c r="C47" s="1000" t="s">
        <v>2437</v>
      </c>
      <c r="D47" s="1001" t="s">
        <v>2464</v>
      </c>
      <c r="E47" s="1002">
        <v>39416</v>
      </c>
      <c r="F47" s="1000">
        <v>51763</v>
      </c>
      <c r="G47" s="1000">
        <v>32</v>
      </c>
      <c r="H47" s="1000">
        <v>517</v>
      </c>
      <c r="I47" s="1000">
        <v>0</v>
      </c>
      <c r="J47" s="1000">
        <v>49</v>
      </c>
      <c r="K47" s="1003">
        <v>26590.37</v>
      </c>
      <c r="L47" s="1004">
        <v>23650</v>
      </c>
      <c r="M47" s="1006">
        <v>2365</v>
      </c>
      <c r="N47" s="1005">
        <v>0.65200000000000002</v>
      </c>
      <c r="O47" s="1005">
        <v>2.1999999999999999E-2</v>
      </c>
      <c r="P47" s="998">
        <v>0</v>
      </c>
      <c r="Q47" s="998">
        <v>0</v>
      </c>
      <c r="R47" s="1000" t="s">
        <v>2360</v>
      </c>
      <c r="S47" s="1000" t="s">
        <v>593</v>
      </c>
      <c r="T47" s="1000">
        <v>0.25</v>
      </c>
      <c r="U47" s="1000">
        <v>1</v>
      </c>
      <c r="V47" s="1000"/>
      <c r="W47" s="1003">
        <v>12.5</v>
      </c>
      <c r="X47" s="1001"/>
      <c r="Y47" s="1001"/>
      <c r="Z47" s="1000">
        <v>1</v>
      </c>
      <c r="AA47" s="1000" t="s">
        <v>2439</v>
      </c>
      <c r="AB47" s="1003">
        <v>0.15920000000000001</v>
      </c>
    </row>
    <row r="48" spans="1:28">
      <c r="A48" s="998">
        <v>4764858</v>
      </c>
      <c r="B48" s="999" t="s">
        <v>2363</v>
      </c>
      <c r="C48" s="1000" t="s">
        <v>2437</v>
      </c>
      <c r="D48" s="1001" t="s">
        <v>2465</v>
      </c>
      <c r="E48" s="1002">
        <v>39443</v>
      </c>
      <c r="F48" s="1000">
        <v>54014</v>
      </c>
      <c r="G48" s="1000">
        <v>27</v>
      </c>
      <c r="H48" s="1000">
        <v>577</v>
      </c>
      <c r="I48" s="1000">
        <v>0</v>
      </c>
      <c r="J48" s="1000">
        <v>44</v>
      </c>
      <c r="K48" s="1003">
        <v>25309.24</v>
      </c>
      <c r="L48" s="1004">
        <v>22510</v>
      </c>
      <c r="M48" s="1006">
        <v>2251</v>
      </c>
      <c r="N48" s="1005">
        <v>-4.8000000000000001E-2</v>
      </c>
      <c r="O48" s="1005">
        <v>-4.3999999999999997E-2</v>
      </c>
      <c r="P48" s="998">
        <v>0</v>
      </c>
      <c r="Q48" s="998">
        <v>0</v>
      </c>
      <c r="R48" s="1000" t="s">
        <v>2360</v>
      </c>
      <c r="S48" s="1000" t="s">
        <v>593</v>
      </c>
      <c r="T48" s="1000">
        <v>0.25</v>
      </c>
      <c r="U48" s="1000">
        <v>1</v>
      </c>
      <c r="V48" s="1000"/>
      <c r="W48" s="1003">
        <v>12.5</v>
      </c>
      <c r="X48" s="1001"/>
      <c r="Y48" s="1001"/>
      <c r="Z48" s="1000">
        <v>1</v>
      </c>
      <c r="AA48" s="1000" t="s">
        <v>2439</v>
      </c>
      <c r="AB48" s="1003">
        <v>0.15920000000000001</v>
      </c>
    </row>
    <row r="49" spans="1:28">
      <c r="A49" s="1007">
        <v>4764858</v>
      </c>
      <c r="B49" s="1008" t="s">
        <v>2363</v>
      </c>
      <c r="C49" s="1009" t="s">
        <v>2437</v>
      </c>
      <c r="D49" s="1010" t="s">
        <v>2466</v>
      </c>
      <c r="E49" s="1011">
        <v>39476</v>
      </c>
      <c r="F49" s="1009">
        <v>56564</v>
      </c>
      <c r="G49" s="1009">
        <v>33</v>
      </c>
      <c r="H49" s="1009">
        <v>877</v>
      </c>
      <c r="I49" s="1009">
        <v>0</v>
      </c>
      <c r="J49" s="1009">
        <v>38</v>
      </c>
      <c r="K49" s="1012">
        <v>26524.85</v>
      </c>
      <c r="L49" s="1004">
        <v>25500</v>
      </c>
      <c r="M49" s="1006">
        <v>2550</v>
      </c>
      <c r="N49" s="1013">
        <v>0.13300000000000001</v>
      </c>
      <c r="O49" s="1013">
        <v>0.28899999999999998</v>
      </c>
      <c r="P49" s="1007">
        <v>0</v>
      </c>
      <c r="Q49" s="1007">
        <v>0</v>
      </c>
      <c r="R49" s="1009" t="s">
        <v>2360</v>
      </c>
      <c r="S49" s="1009" t="s">
        <v>593</v>
      </c>
      <c r="T49" s="1009">
        <v>0.25</v>
      </c>
      <c r="U49" s="1009">
        <v>1</v>
      </c>
      <c r="V49" s="1009"/>
      <c r="W49" s="1012">
        <v>12.5</v>
      </c>
      <c r="X49" s="1010"/>
      <c r="Y49" s="1010"/>
      <c r="Z49" s="1009">
        <v>1</v>
      </c>
      <c r="AA49" s="1009" t="s">
        <v>2439</v>
      </c>
      <c r="AB49" s="1012">
        <v>0.15920000000000001</v>
      </c>
    </row>
    <row r="50" spans="1:28">
      <c r="A50" s="1007">
        <v>4764858</v>
      </c>
      <c r="B50" s="1008" t="s">
        <v>2363</v>
      </c>
      <c r="C50" s="1009" t="s">
        <v>2437</v>
      </c>
      <c r="D50" s="1010" t="s">
        <v>2467</v>
      </c>
      <c r="E50" s="1011">
        <v>39504</v>
      </c>
      <c r="F50" s="1009">
        <v>58667</v>
      </c>
      <c r="G50" s="1009">
        <v>28</v>
      </c>
      <c r="H50" s="1009">
        <v>628</v>
      </c>
      <c r="I50" s="1009">
        <v>0</v>
      </c>
      <c r="J50" s="1009">
        <v>43</v>
      </c>
      <c r="K50" s="1012">
        <v>24379.97</v>
      </c>
      <c r="L50" s="1004">
        <v>21030</v>
      </c>
      <c r="M50" s="1006">
        <v>2103</v>
      </c>
      <c r="N50" s="1013">
        <v>-0.17499999999999999</v>
      </c>
      <c r="O50" s="1013">
        <v>-0.23699999999999999</v>
      </c>
      <c r="P50" s="1007">
        <v>0</v>
      </c>
      <c r="Q50" s="1007">
        <v>0</v>
      </c>
      <c r="R50" s="1009" t="s">
        <v>2360</v>
      </c>
      <c r="S50" s="1009" t="s">
        <v>593</v>
      </c>
      <c r="T50" s="1009">
        <v>0.25</v>
      </c>
      <c r="U50" s="1009">
        <v>1</v>
      </c>
      <c r="V50" s="1009"/>
      <c r="W50" s="1012">
        <v>12.5</v>
      </c>
      <c r="X50" s="1010"/>
      <c r="Y50" s="1010"/>
      <c r="Z50" s="1009">
        <v>1</v>
      </c>
      <c r="AA50" s="1009" t="s">
        <v>2439</v>
      </c>
      <c r="AB50" s="1012">
        <v>0.15920000000000001</v>
      </c>
    </row>
    <row r="51" spans="1:28">
      <c r="A51" s="998">
        <v>4764858</v>
      </c>
      <c r="B51" s="999" t="s">
        <v>2363</v>
      </c>
      <c r="C51" s="1000" t="s">
        <v>2437</v>
      </c>
      <c r="D51" s="1001" t="s">
        <v>2468</v>
      </c>
      <c r="E51" s="1002">
        <v>39535</v>
      </c>
      <c r="F51" s="1000">
        <v>60669</v>
      </c>
      <c r="G51" s="1000">
        <v>31</v>
      </c>
      <c r="H51" s="1000">
        <v>532</v>
      </c>
      <c r="I51" s="1000">
        <v>0</v>
      </c>
      <c r="J51" s="1000">
        <v>48</v>
      </c>
      <c r="K51" s="1003">
        <v>24120.58</v>
      </c>
      <c r="L51" s="1004">
        <v>20020</v>
      </c>
      <c r="M51" s="1006">
        <v>2002</v>
      </c>
      <c r="N51" s="1005">
        <v>-4.8000000000000001E-2</v>
      </c>
      <c r="O51" s="1005">
        <v>0.10199999999999999</v>
      </c>
      <c r="P51" s="998">
        <v>0</v>
      </c>
      <c r="Q51" s="998">
        <v>0</v>
      </c>
      <c r="R51" s="1000" t="s">
        <v>2360</v>
      </c>
      <c r="S51" s="1000" t="s">
        <v>593</v>
      </c>
      <c r="T51" s="1000">
        <v>0.25</v>
      </c>
      <c r="U51" s="1000">
        <v>1</v>
      </c>
      <c r="V51" s="1000"/>
      <c r="W51" s="1003">
        <v>12.5</v>
      </c>
      <c r="X51" s="1001"/>
      <c r="Y51" s="1001"/>
      <c r="Z51" s="1000">
        <v>1</v>
      </c>
      <c r="AA51" s="1000" t="s">
        <v>2439</v>
      </c>
      <c r="AB51" s="1003">
        <v>0.15920000000000001</v>
      </c>
    </row>
    <row r="52" spans="1:28">
      <c r="A52" s="998">
        <v>4764858</v>
      </c>
      <c r="B52" s="999" t="s">
        <v>2363</v>
      </c>
      <c r="C52" s="1000" t="s">
        <v>2437</v>
      </c>
      <c r="D52" s="1001" t="s">
        <v>2469</v>
      </c>
      <c r="E52" s="1002">
        <v>39566</v>
      </c>
      <c r="F52" s="1000">
        <v>62472</v>
      </c>
      <c r="G52" s="1000">
        <v>31</v>
      </c>
      <c r="H52" s="1000">
        <v>267</v>
      </c>
      <c r="I52" s="1000">
        <v>14</v>
      </c>
      <c r="J52" s="1000">
        <v>57</v>
      </c>
      <c r="K52" s="1003">
        <v>23215.31</v>
      </c>
      <c r="L52" s="1004">
        <v>18030</v>
      </c>
      <c r="M52" s="1006">
        <v>1803</v>
      </c>
      <c r="N52" s="1005">
        <v>-9.9000000000000005E-2</v>
      </c>
      <c r="O52" s="1005">
        <v>0.13800000000000001</v>
      </c>
      <c r="P52" s="998">
        <v>0</v>
      </c>
      <c r="Q52" s="998">
        <v>0</v>
      </c>
      <c r="R52" s="1000" t="s">
        <v>2360</v>
      </c>
      <c r="S52" s="1000" t="s">
        <v>593</v>
      </c>
      <c r="T52" s="1000">
        <v>0.25</v>
      </c>
      <c r="U52" s="1000">
        <v>1</v>
      </c>
      <c r="V52" s="1000"/>
      <c r="W52" s="1003">
        <v>12.5</v>
      </c>
      <c r="X52" s="1001"/>
      <c r="Y52" s="1001"/>
      <c r="Z52" s="1000">
        <v>1</v>
      </c>
      <c r="AA52" s="1000" t="s">
        <v>2439</v>
      </c>
      <c r="AB52" s="1003">
        <v>0.15920000000000001</v>
      </c>
    </row>
    <row r="53" spans="1:28">
      <c r="A53" s="1007">
        <v>4764858</v>
      </c>
      <c r="B53" s="1008" t="s">
        <v>2363</v>
      </c>
      <c r="C53" s="1009" t="s">
        <v>2437</v>
      </c>
      <c r="D53" s="1010" t="s">
        <v>2470</v>
      </c>
      <c r="E53" s="1011">
        <v>39596</v>
      </c>
      <c r="F53" s="1009">
        <v>64313</v>
      </c>
      <c r="G53" s="1009">
        <v>30</v>
      </c>
      <c r="H53" s="1009">
        <v>112</v>
      </c>
      <c r="I53" s="1009">
        <v>43</v>
      </c>
      <c r="J53" s="1009">
        <v>63</v>
      </c>
      <c r="K53" s="1012">
        <v>25664.99</v>
      </c>
      <c r="L53" s="1004">
        <v>18410</v>
      </c>
      <c r="M53" s="1006">
        <v>1841</v>
      </c>
      <c r="N53" s="1013">
        <v>2.1000000000000001E-2</v>
      </c>
      <c r="O53" s="1013">
        <v>0.34699999999999998</v>
      </c>
      <c r="P53" s="1007">
        <v>0</v>
      </c>
      <c r="Q53" s="1007">
        <v>0</v>
      </c>
      <c r="R53" s="1009" t="s">
        <v>2360</v>
      </c>
      <c r="S53" s="1009" t="s">
        <v>593</v>
      </c>
      <c r="T53" s="1009">
        <v>0.25</v>
      </c>
      <c r="U53" s="1009">
        <v>1</v>
      </c>
      <c r="V53" s="1009"/>
      <c r="W53" s="1012">
        <v>12.5</v>
      </c>
      <c r="X53" s="1010"/>
      <c r="Y53" s="1010"/>
      <c r="Z53" s="1009">
        <v>1</v>
      </c>
      <c r="AA53" s="1009" t="s">
        <v>2439</v>
      </c>
      <c r="AB53" s="1012">
        <v>0.15920000000000001</v>
      </c>
    </row>
    <row r="54" spans="1:28">
      <c r="A54" s="1007">
        <v>4764858</v>
      </c>
      <c r="B54" s="1008" t="s">
        <v>2363</v>
      </c>
      <c r="C54" s="1009" t="s">
        <v>2437</v>
      </c>
      <c r="D54" s="1010" t="s">
        <v>2471</v>
      </c>
      <c r="E54" s="1011">
        <v>39626</v>
      </c>
      <c r="F54" s="1009">
        <v>65521</v>
      </c>
      <c r="G54" s="1009">
        <v>30</v>
      </c>
      <c r="H54" s="1009">
        <v>6</v>
      </c>
      <c r="I54" s="1009">
        <v>311</v>
      </c>
      <c r="J54" s="1009">
        <v>75</v>
      </c>
      <c r="K54" s="1012">
        <v>17745.939999999999</v>
      </c>
      <c r="L54" s="1004">
        <v>12080</v>
      </c>
      <c r="M54" s="1006">
        <v>1208</v>
      </c>
      <c r="N54" s="1013">
        <v>-0.34399999999999997</v>
      </c>
      <c r="O54" s="1013">
        <v>0.184</v>
      </c>
      <c r="P54" s="1007">
        <v>0</v>
      </c>
      <c r="Q54" s="1007">
        <v>0</v>
      </c>
      <c r="R54" s="1009" t="s">
        <v>2360</v>
      </c>
      <c r="S54" s="1009" t="s">
        <v>593</v>
      </c>
      <c r="T54" s="1009">
        <v>0.25</v>
      </c>
      <c r="U54" s="1009">
        <v>1</v>
      </c>
      <c r="V54" s="1009"/>
      <c r="W54" s="1012">
        <v>12.5</v>
      </c>
      <c r="X54" s="1010"/>
      <c r="Y54" s="1010"/>
      <c r="Z54" s="1009">
        <v>1</v>
      </c>
      <c r="AA54" s="1009" t="s">
        <v>2439</v>
      </c>
      <c r="AB54" s="1012">
        <v>0.15920000000000001</v>
      </c>
    </row>
    <row r="55" spans="1:28">
      <c r="A55" s="1007">
        <v>4764858</v>
      </c>
      <c r="B55" s="1008" t="s">
        <v>2363</v>
      </c>
      <c r="C55" s="1009" t="s">
        <v>2437</v>
      </c>
      <c r="D55" s="1010" t="s">
        <v>2472</v>
      </c>
      <c r="E55" s="1011">
        <v>39658</v>
      </c>
      <c r="F55" s="1009">
        <v>66972</v>
      </c>
      <c r="G55" s="1009">
        <v>32</v>
      </c>
      <c r="H55" s="1009">
        <v>0</v>
      </c>
      <c r="I55" s="1009">
        <v>354</v>
      </c>
      <c r="J55" s="1009">
        <v>76</v>
      </c>
      <c r="K55" s="1012">
        <v>23576.74</v>
      </c>
      <c r="L55" s="1004">
        <v>14510</v>
      </c>
      <c r="M55" s="1006">
        <v>1451</v>
      </c>
      <c r="N55" s="1013">
        <v>0.20100000000000001</v>
      </c>
      <c r="O55" s="1013">
        <v>0.25700000000000001</v>
      </c>
      <c r="P55" s="1007">
        <v>0</v>
      </c>
      <c r="Q55" s="1007">
        <v>0</v>
      </c>
      <c r="R55" s="1009" t="s">
        <v>2360</v>
      </c>
      <c r="S55" s="1009" t="s">
        <v>593</v>
      </c>
      <c r="T55" s="1009">
        <v>0.25</v>
      </c>
      <c r="U55" s="1009">
        <v>1</v>
      </c>
      <c r="V55" s="1009"/>
      <c r="W55" s="1012">
        <v>12.5</v>
      </c>
      <c r="X55" s="1010"/>
      <c r="Y55" s="1010"/>
      <c r="Z55" s="1009">
        <v>1</v>
      </c>
      <c r="AA55" s="1009" t="s">
        <v>2439</v>
      </c>
      <c r="AB55" s="1012">
        <v>0.15920000000000001</v>
      </c>
    </row>
    <row r="56" spans="1:28">
      <c r="A56" s="1007">
        <v>4764858</v>
      </c>
      <c r="B56" s="1008" t="s">
        <v>2363</v>
      </c>
      <c r="C56" s="1009" t="s">
        <v>2437</v>
      </c>
      <c r="D56" s="1010" t="s">
        <v>2473</v>
      </c>
      <c r="E56" s="1011">
        <v>39687</v>
      </c>
      <c r="F56" s="1009">
        <v>68274</v>
      </c>
      <c r="G56" s="1009">
        <v>29</v>
      </c>
      <c r="H56" s="1009">
        <v>0</v>
      </c>
      <c r="I56" s="1009">
        <v>302</v>
      </c>
      <c r="J56" s="1009">
        <v>75</v>
      </c>
      <c r="K56" s="1012">
        <v>17736.62</v>
      </c>
      <c r="L56" s="1004">
        <v>13020</v>
      </c>
      <c r="M56" s="1006">
        <v>1302</v>
      </c>
      <c r="N56" s="1013">
        <v>-0.10299999999999999</v>
      </c>
      <c r="O56" s="1013">
        <v>0.217</v>
      </c>
      <c r="P56" s="1007">
        <v>0</v>
      </c>
      <c r="Q56" s="1007">
        <v>0</v>
      </c>
      <c r="R56" s="1009" t="s">
        <v>2360</v>
      </c>
      <c r="S56" s="1009" t="s">
        <v>593</v>
      </c>
      <c r="T56" s="1009">
        <v>0.25</v>
      </c>
      <c r="U56" s="1009">
        <v>1</v>
      </c>
      <c r="V56" s="1009"/>
      <c r="W56" s="1012">
        <v>12.5</v>
      </c>
      <c r="X56" s="1010"/>
      <c r="Y56" s="1010"/>
      <c r="Z56" s="1009">
        <v>1</v>
      </c>
      <c r="AA56" s="1009" t="s">
        <v>2439</v>
      </c>
      <c r="AB56" s="1012">
        <v>0.15920000000000001</v>
      </c>
    </row>
    <row r="57" spans="1:28">
      <c r="A57" s="1007">
        <v>4764858</v>
      </c>
      <c r="B57" s="1008" t="s">
        <v>2363</v>
      </c>
      <c r="C57" s="1009" t="s">
        <v>2437</v>
      </c>
      <c r="D57" s="1010" t="s">
        <v>2474</v>
      </c>
      <c r="E57" s="1011">
        <v>39717</v>
      </c>
      <c r="F57" s="1009">
        <v>69810</v>
      </c>
      <c r="G57" s="1009">
        <v>30</v>
      </c>
      <c r="H57" s="1009">
        <v>12</v>
      </c>
      <c r="I57" s="1009">
        <v>178</v>
      </c>
      <c r="J57" s="1009">
        <v>71</v>
      </c>
      <c r="K57" s="1012">
        <v>16962.259999999998</v>
      </c>
      <c r="L57" s="1004">
        <v>15360</v>
      </c>
      <c r="M57" s="1006">
        <v>1536</v>
      </c>
      <c r="N57" s="1013">
        <v>0.18</v>
      </c>
      <c r="O57" s="1013">
        <v>0.67700000000000005</v>
      </c>
      <c r="P57" s="1007">
        <v>0</v>
      </c>
      <c r="Q57" s="1007">
        <v>0</v>
      </c>
      <c r="R57" s="1009" t="s">
        <v>2360</v>
      </c>
      <c r="S57" s="1009" t="s">
        <v>593</v>
      </c>
      <c r="T57" s="1009">
        <v>0.25</v>
      </c>
      <c r="U57" s="1009">
        <v>1</v>
      </c>
      <c r="V57" s="1009"/>
      <c r="W57" s="1012">
        <v>12.5</v>
      </c>
      <c r="X57" s="1010"/>
      <c r="Y57" s="1010"/>
      <c r="Z57" s="1009">
        <v>1</v>
      </c>
      <c r="AA57" s="1009" t="s">
        <v>2439</v>
      </c>
      <c r="AB57" s="1012">
        <v>0.15920000000000001</v>
      </c>
    </row>
    <row r="58" spans="1:28">
      <c r="A58" s="1007">
        <v>4764858</v>
      </c>
      <c r="B58" s="1008" t="s">
        <v>2363</v>
      </c>
      <c r="C58" s="1009" t="s">
        <v>2437</v>
      </c>
      <c r="D58" s="1010" t="s">
        <v>2475</v>
      </c>
      <c r="E58" s="1011">
        <v>39752</v>
      </c>
      <c r="F58" s="1009">
        <v>72055</v>
      </c>
      <c r="G58" s="1009">
        <v>35</v>
      </c>
      <c r="H58" s="1009">
        <v>220</v>
      </c>
      <c r="I58" s="1009">
        <v>40</v>
      </c>
      <c r="J58" s="1009">
        <v>60</v>
      </c>
      <c r="K58" s="1012">
        <v>22695.98</v>
      </c>
      <c r="L58" s="1004">
        <v>22450</v>
      </c>
      <c r="M58" s="1006">
        <v>2245</v>
      </c>
      <c r="N58" s="1013">
        <v>0.46200000000000002</v>
      </c>
      <c r="O58" s="1013">
        <v>0.56799999999999995</v>
      </c>
      <c r="P58" s="1007">
        <v>0</v>
      </c>
      <c r="Q58" s="1007">
        <v>0</v>
      </c>
      <c r="R58" s="1009" t="s">
        <v>2360</v>
      </c>
      <c r="S58" s="1009" t="s">
        <v>593</v>
      </c>
      <c r="T58" s="1009">
        <v>0.25</v>
      </c>
      <c r="U58" s="1009">
        <v>1</v>
      </c>
      <c r="V58" s="1009"/>
      <c r="W58" s="1012">
        <v>12.5</v>
      </c>
      <c r="X58" s="1010"/>
      <c r="Y58" s="1010"/>
      <c r="Z58" s="1009">
        <v>1</v>
      </c>
      <c r="AA58" s="1009" t="s">
        <v>2439</v>
      </c>
      <c r="AB58" s="1012">
        <v>0.15920000000000001</v>
      </c>
    </row>
    <row r="59" spans="1:28">
      <c r="A59" s="1007">
        <v>4764858</v>
      </c>
      <c r="B59" s="1008" t="s">
        <v>2363</v>
      </c>
      <c r="C59" s="1009" t="s">
        <v>2437</v>
      </c>
      <c r="D59" s="1010" t="s">
        <v>2476</v>
      </c>
      <c r="E59" s="1011">
        <v>39778</v>
      </c>
      <c r="F59" s="1009">
        <v>73930</v>
      </c>
      <c r="G59" s="1009">
        <v>26</v>
      </c>
      <c r="H59" s="1009">
        <v>471</v>
      </c>
      <c r="I59" s="1009">
        <v>0</v>
      </c>
      <c r="J59" s="1009">
        <v>47</v>
      </c>
      <c r="K59" s="1012">
        <v>23309.38</v>
      </c>
      <c r="L59" s="1004">
        <v>18750</v>
      </c>
      <c r="M59" s="1006">
        <v>1875</v>
      </c>
      <c r="N59" s="1013">
        <v>-0.16500000000000001</v>
      </c>
      <c r="O59" s="1013">
        <v>-0.20699999999999999</v>
      </c>
      <c r="P59" s="1007">
        <v>0</v>
      </c>
      <c r="Q59" s="1007">
        <v>0</v>
      </c>
      <c r="R59" s="1009" t="s">
        <v>2360</v>
      </c>
      <c r="S59" s="1009" t="s">
        <v>593</v>
      </c>
      <c r="T59" s="1009">
        <v>0.25</v>
      </c>
      <c r="U59" s="1009">
        <v>1</v>
      </c>
      <c r="V59" s="1009"/>
      <c r="W59" s="1012">
        <v>12.5</v>
      </c>
      <c r="X59" s="1010"/>
      <c r="Y59" s="1010"/>
      <c r="Z59" s="1009">
        <v>1</v>
      </c>
      <c r="AA59" s="1009" t="s">
        <v>2439</v>
      </c>
      <c r="AB59" s="1012">
        <v>0.15920000000000001</v>
      </c>
    </row>
    <row r="60" spans="1:28">
      <c r="A60" s="998">
        <v>4764858</v>
      </c>
      <c r="B60" s="999" t="s">
        <v>2363</v>
      </c>
      <c r="C60" s="1000" t="s">
        <v>2437</v>
      </c>
      <c r="D60" s="1001" t="s">
        <v>2477</v>
      </c>
      <c r="E60" s="1002">
        <v>39811</v>
      </c>
      <c r="F60" s="1000">
        <v>76238</v>
      </c>
      <c r="G60" s="1000">
        <v>33</v>
      </c>
      <c r="H60" s="1000">
        <v>759</v>
      </c>
      <c r="I60" s="1000">
        <v>0</v>
      </c>
      <c r="J60" s="1000">
        <v>42</v>
      </c>
      <c r="K60" s="1003">
        <v>28825.58</v>
      </c>
      <c r="L60" s="1004">
        <v>23080</v>
      </c>
      <c r="M60" s="1006">
        <v>2308</v>
      </c>
      <c r="N60" s="1005">
        <v>0.23100000000000001</v>
      </c>
      <c r="O60" s="1005">
        <v>2.5000000000000001E-2</v>
      </c>
      <c r="P60" s="998">
        <v>0</v>
      </c>
      <c r="Q60" s="998">
        <v>0</v>
      </c>
      <c r="R60" s="1000" t="s">
        <v>2360</v>
      </c>
      <c r="S60" s="1000" t="s">
        <v>593</v>
      </c>
      <c r="T60" s="1000">
        <v>0.25</v>
      </c>
      <c r="U60" s="1000">
        <v>1</v>
      </c>
      <c r="V60" s="1000"/>
      <c r="W60" s="1003">
        <v>12.5</v>
      </c>
      <c r="X60" s="1001"/>
      <c r="Y60" s="1001"/>
      <c r="Z60" s="1000">
        <v>1</v>
      </c>
      <c r="AA60" s="1000" t="s">
        <v>2439</v>
      </c>
      <c r="AB60" s="1003">
        <v>0.15920000000000001</v>
      </c>
    </row>
    <row r="61" spans="1:28">
      <c r="A61" s="1007">
        <v>4764858</v>
      </c>
      <c r="B61" s="1008" t="s">
        <v>2363</v>
      </c>
      <c r="C61" s="1009" t="s">
        <v>2437</v>
      </c>
      <c r="D61" s="1010" t="s">
        <v>2478</v>
      </c>
      <c r="E61" s="1011">
        <v>39846</v>
      </c>
      <c r="F61" s="1009">
        <v>78219</v>
      </c>
      <c r="G61" s="1009">
        <v>35</v>
      </c>
      <c r="H61" s="1009">
        <v>969</v>
      </c>
      <c r="I61" s="1009">
        <v>0</v>
      </c>
      <c r="J61" s="1009">
        <v>37</v>
      </c>
      <c r="K61" s="1012">
        <v>24214.38</v>
      </c>
      <c r="L61" s="1004">
        <v>19810</v>
      </c>
      <c r="M61" s="1006">
        <v>1981</v>
      </c>
      <c r="N61" s="1013">
        <v>-0.14199999999999999</v>
      </c>
      <c r="O61" s="1013">
        <v>-0.223</v>
      </c>
      <c r="P61" s="1007">
        <v>0</v>
      </c>
      <c r="Q61" s="1007">
        <v>0</v>
      </c>
      <c r="R61" s="1009" t="s">
        <v>2360</v>
      </c>
      <c r="S61" s="1009" t="s">
        <v>593</v>
      </c>
      <c r="T61" s="1009">
        <v>0.25</v>
      </c>
      <c r="U61" s="1009">
        <v>1</v>
      </c>
      <c r="V61" s="1009"/>
      <c r="W61" s="1012">
        <v>12.5</v>
      </c>
      <c r="X61" s="1010"/>
      <c r="Y61" s="1010"/>
      <c r="Z61" s="1009">
        <v>1</v>
      </c>
      <c r="AA61" s="1009" t="s">
        <v>2439</v>
      </c>
      <c r="AB61" s="1012">
        <v>0.15920000000000001</v>
      </c>
    </row>
    <row r="62" spans="1:28">
      <c r="A62" s="1007">
        <v>4764858</v>
      </c>
      <c r="B62" s="1008" t="s">
        <v>2363</v>
      </c>
      <c r="C62" s="1009" t="s">
        <v>2437</v>
      </c>
      <c r="D62" s="1010" t="s">
        <v>2479</v>
      </c>
      <c r="E62" s="1011">
        <v>39870</v>
      </c>
      <c r="F62" s="1009">
        <v>79630</v>
      </c>
      <c r="G62" s="1009">
        <v>24</v>
      </c>
      <c r="H62" s="1009">
        <v>572</v>
      </c>
      <c r="I62" s="1009">
        <v>0</v>
      </c>
      <c r="J62" s="1009">
        <v>41</v>
      </c>
      <c r="K62" s="1012">
        <v>16646.78</v>
      </c>
      <c r="L62" s="1004">
        <v>14110</v>
      </c>
      <c r="M62" s="1006">
        <v>1411</v>
      </c>
      <c r="N62" s="1013">
        <v>-0.28799999999999998</v>
      </c>
      <c r="O62" s="1013">
        <v>-0.32900000000000001</v>
      </c>
      <c r="P62" s="1007">
        <v>0</v>
      </c>
      <c r="Q62" s="1007">
        <v>0</v>
      </c>
      <c r="R62" s="1009" t="s">
        <v>2360</v>
      </c>
      <c r="S62" s="1009" t="s">
        <v>593</v>
      </c>
      <c r="T62" s="1009">
        <v>0.25</v>
      </c>
      <c r="U62" s="1009">
        <v>1</v>
      </c>
      <c r="V62" s="1009"/>
      <c r="W62" s="1012">
        <v>12.5</v>
      </c>
      <c r="X62" s="1010"/>
      <c r="Y62" s="1010"/>
      <c r="Z62" s="1009">
        <v>1</v>
      </c>
      <c r="AA62" s="1009" t="s">
        <v>2439</v>
      </c>
      <c r="AB62" s="1012">
        <v>0.15920000000000001</v>
      </c>
    </row>
    <row r="63" spans="1:28">
      <c r="A63" s="1007">
        <v>4764858</v>
      </c>
      <c r="B63" s="1008" t="s">
        <v>2363</v>
      </c>
      <c r="C63" s="1009" t="s">
        <v>2437</v>
      </c>
      <c r="D63" s="1010" t="s">
        <v>2480</v>
      </c>
      <c r="E63" s="1011">
        <v>39937</v>
      </c>
      <c r="F63" s="1009">
        <v>82345</v>
      </c>
      <c r="G63" s="1009">
        <v>62</v>
      </c>
      <c r="H63" s="1009">
        <v>717</v>
      </c>
      <c r="I63" s="1009">
        <v>64</v>
      </c>
      <c r="J63" s="1009">
        <v>54</v>
      </c>
      <c r="K63" s="1012">
        <v>9205.0300000000007</v>
      </c>
      <c r="L63" s="1004">
        <v>13840</v>
      </c>
      <c r="M63" s="1006">
        <v>1384</v>
      </c>
      <c r="N63" s="1013">
        <v>-0.23200000000000001</v>
      </c>
      <c r="O63" s="1013">
        <v>-0.248</v>
      </c>
      <c r="P63" s="1007">
        <v>0</v>
      </c>
      <c r="Q63" s="1007">
        <v>0</v>
      </c>
      <c r="R63" s="1009" t="s">
        <v>2360</v>
      </c>
      <c r="S63" s="1009" t="s">
        <v>593</v>
      </c>
      <c r="T63" s="1009">
        <v>0.25</v>
      </c>
      <c r="U63" s="1009">
        <v>1</v>
      </c>
      <c r="V63" s="1009"/>
      <c r="W63" s="1012">
        <v>12.5</v>
      </c>
      <c r="X63" s="1010"/>
      <c r="Y63" s="1010"/>
      <c r="Z63" s="1009">
        <v>1</v>
      </c>
      <c r="AA63" s="1009" t="s">
        <v>2439</v>
      </c>
      <c r="AB63" s="1012">
        <v>0.15920000000000001</v>
      </c>
    </row>
    <row r="64" spans="1:28">
      <c r="A64" s="1007">
        <v>4764858</v>
      </c>
      <c r="B64" s="1008" t="s">
        <v>2363</v>
      </c>
      <c r="C64" s="1009" t="s">
        <v>2437</v>
      </c>
      <c r="D64" s="1010" t="s">
        <v>2480</v>
      </c>
      <c r="E64" s="1011">
        <v>39962</v>
      </c>
      <c r="F64" s="1009">
        <v>83284</v>
      </c>
      <c r="G64" s="1009">
        <v>25</v>
      </c>
      <c r="H64" s="1009">
        <v>76</v>
      </c>
      <c r="I64" s="1009">
        <v>70</v>
      </c>
      <c r="J64" s="1009">
        <v>65</v>
      </c>
      <c r="K64" s="1012">
        <v>6069.05</v>
      </c>
      <c r="L64" s="1004">
        <v>9390</v>
      </c>
      <c r="M64" s="940">
        <v>939</v>
      </c>
      <c r="N64" s="1013">
        <v>-0.47899999999999998</v>
      </c>
      <c r="O64" s="1013">
        <v>-0.32200000000000001</v>
      </c>
      <c r="P64" s="1007">
        <v>0</v>
      </c>
      <c r="Q64" s="1007">
        <v>0</v>
      </c>
      <c r="R64" s="1009" t="s">
        <v>2360</v>
      </c>
      <c r="S64" s="1009" t="s">
        <v>593</v>
      </c>
      <c r="T64" s="1009">
        <v>0.25</v>
      </c>
      <c r="U64" s="1009">
        <v>1</v>
      </c>
      <c r="V64" s="1009"/>
      <c r="W64" s="1012">
        <v>12.5</v>
      </c>
      <c r="X64" s="1010"/>
      <c r="Y64" s="1010"/>
      <c r="Z64" s="1009">
        <v>1</v>
      </c>
      <c r="AA64" s="1009" t="s">
        <v>2439</v>
      </c>
      <c r="AB64" s="1012">
        <v>0.15920000000000001</v>
      </c>
    </row>
    <row r="65" spans="1:28">
      <c r="A65" s="1007">
        <v>4764858</v>
      </c>
      <c r="B65" s="1008" t="s">
        <v>2363</v>
      </c>
      <c r="C65" s="1009" t="s">
        <v>2437</v>
      </c>
      <c r="D65" s="1010" t="s">
        <v>2481</v>
      </c>
      <c r="E65" s="1011">
        <v>39994</v>
      </c>
      <c r="F65" s="1009">
        <v>84206</v>
      </c>
      <c r="G65" s="1009">
        <v>32</v>
      </c>
      <c r="H65" s="1009">
        <v>0</v>
      </c>
      <c r="I65" s="1009">
        <v>283</v>
      </c>
      <c r="J65" s="1009">
        <v>74</v>
      </c>
      <c r="K65" s="1012">
        <v>6430.54</v>
      </c>
      <c r="L65" s="1004">
        <v>9220</v>
      </c>
      <c r="M65" s="940">
        <v>922</v>
      </c>
      <c r="N65" s="1013">
        <v>-1.7999999999999999E-2</v>
      </c>
      <c r="O65" s="1013">
        <v>-0.23699999999999999</v>
      </c>
      <c r="P65" s="1007">
        <v>0</v>
      </c>
      <c r="Q65" s="1007">
        <v>0</v>
      </c>
      <c r="R65" s="1009" t="s">
        <v>2360</v>
      </c>
      <c r="S65" s="1009" t="s">
        <v>593</v>
      </c>
      <c r="T65" s="1009">
        <v>0.25</v>
      </c>
      <c r="U65" s="1009">
        <v>1</v>
      </c>
      <c r="V65" s="1009"/>
      <c r="W65" s="1012">
        <v>12.5</v>
      </c>
      <c r="X65" s="1010"/>
      <c r="Y65" s="1010"/>
      <c r="Z65" s="1009">
        <v>1</v>
      </c>
      <c r="AA65" s="1009" t="s">
        <v>2439</v>
      </c>
      <c r="AB65" s="1012">
        <v>0.15920000000000001</v>
      </c>
    </row>
    <row r="66" spans="1:28">
      <c r="A66" s="1007">
        <v>4764858</v>
      </c>
      <c r="B66" s="1008" t="s">
        <v>2363</v>
      </c>
      <c r="C66" s="1009" t="s">
        <v>2437</v>
      </c>
      <c r="D66" s="1010" t="s">
        <v>2482</v>
      </c>
      <c r="E66" s="1011">
        <v>40022</v>
      </c>
      <c r="F66" s="1009">
        <v>84992</v>
      </c>
      <c r="G66" s="1009">
        <v>28</v>
      </c>
      <c r="H66" s="1009">
        <v>0</v>
      </c>
      <c r="I66" s="1009">
        <v>233</v>
      </c>
      <c r="J66" s="1009">
        <v>73</v>
      </c>
      <c r="K66" s="1012">
        <v>5428.04</v>
      </c>
      <c r="L66" s="1004">
        <v>7860</v>
      </c>
      <c r="M66" s="940">
        <v>786</v>
      </c>
      <c r="N66" s="1013">
        <v>-0.14799999999999999</v>
      </c>
      <c r="O66" s="1013">
        <v>-0.45800000000000002</v>
      </c>
      <c r="P66" s="1007">
        <v>0</v>
      </c>
      <c r="Q66" s="1007">
        <v>0</v>
      </c>
      <c r="R66" s="1009" t="s">
        <v>2360</v>
      </c>
      <c r="S66" s="1009" t="s">
        <v>593</v>
      </c>
      <c r="T66" s="1009">
        <v>0.25</v>
      </c>
      <c r="U66" s="1009">
        <v>1</v>
      </c>
      <c r="V66" s="1009"/>
      <c r="W66" s="1012">
        <v>12.5</v>
      </c>
      <c r="X66" s="1010"/>
      <c r="Y66" s="1010"/>
      <c r="Z66" s="1009">
        <v>1</v>
      </c>
      <c r="AA66" s="1009" t="s">
        <v>2439</v>
      </c>
      <c r="AB66" s="1012">
        <v>0.15920000000000001</v>
      </c>
    </row>
    <row r="67" spans="1:28">
      <c r="A67" s="1007">
        <v>4764858</v>
      </c>
      <c r="B67" s="1008" t="s">
        <v>2363</v>
      </c>
      <c r="C67" s="1009" t="s">
        <v>2437</v>
      </c>
      <c r="D67" s="1010" t="s">
        <v>2483</v>
      </c>
      <c r="E67" s="1011">
        <v>40053</v>
      </c>
      <c r="F67" s="1009">
        <v>85765</v>
      </c>
      <c r="G67" s="1009">
        <v>31</v>
      </c>
      <c r="H67" s="1009">
        <v>0</v>
      </c>
      <c r="I67" s="1009">
        <v>361</v>
      </c>
      <c r="J67" s="1009">
        <v>77</v>
      </c>
      <c r="K67" s="1012">
        <v>4666.74</v>
      </c>
      <c r="L67" s="1004">
        <v>7730</v>
      </c>
      <c r="M67" s="940">
        <v>773</v>
      </c>
      <c r="N67" s="1013">
        <v>-1.7000000000000001E-2</v>
      </c>
      <c r="O67" s="1013">
        <v>-0.40600000000000003</v>
      </c>
      <c r="P67" s="1007">
        <v>0</v>
      </c>
      <c r="Q67" s="1007">
        <v>0</v>
      </c>
      <c r="R67" s="1009" t="s">
        <v>2360</v>
      </c>
      <c r="S67" s="1009" t="s">
        <v>593</v>
      </c>
      <c r="T67" s="1009">
        <v>0.25</v>
      </c>
      <c r="U67" s="1009">
        <v>1</v>
      </c>
      <c r="V67" s="1009"/>
      <c r="W67" s="1012">
        <v>12.5</v>
      </c>
      <c r="X67" s="1010"/>
      <c r="Y67" s="1010"/>
      <c r="Z67" s="1009">
        <v>1</v>
      </c>
      <c r="AA67" s="1009" t="s">
        <v>2439</v>
      </c>
      <c r="AB67" s="1012">
        <v>0.15920000000000001</v>
      </c>
    </row>
    <row r="68" spans="1:28">
      <c r="A68" s="1007">
        <v>4764858</v>
      </c>
      <c r="B68" s="1008" t="s">
        <v>2363</v>
      </c>
      <c r="C68" s="1009" t="s">
        <v>2437</v>
      </c>
      <c r="D68" s="1010" t="s">
        <v>2484</v>
      </c>
      <c r="E68" s="1011">
        <v>40086</v>
      </c>
      <c r="F68" s="1009">
        <v>86749</v>
      </c>
      <c r="G68" s="1009">
        <v>33</v>
      </c>
      <c r="H68" s="1009">
        <v>11</v>
      </c>
      <c r="I68" s="1009">
        <v>171</v>
      </c>
      <c r="J68" s="1009">
        <v>70</v>
      </c>
      <c r="K68" s="1012">
        <v>6406.53</v>
      </c>
      <c r="L68" s="1004">
        <v>9840</v>
      </c>
      <c r="M68" s="940">
        <v>984</v>
      </c>
      <c r="N68" s="1013">
        <v>0.27300000000000002</v>
      </c>
      <c r="O68" s="1013">
        <v>-0.35899999999999999</v>
      </c>
      <c r="P68" s="1007">
        <v>0</v>
      </c>
      <c r="Q68" s="1007">
        <v>0</v>
      </c>
      <c r="R68" s="1009" t="s">
        <v>2360</v>
      </c>
      <c r="S68" s="1009" t="s">
        <v>593</v>
      </c>
      <c r="T68" s="1009">
        <v>0.25</v>
      </c>
      <c r="U68" s="1009">
        <v>1</v>
      </c>
      <c r="V68" s="1009"/>
      <c r="W68" s="1012">
        <v>12.5</v>
      </c>
      <c r="X68" s="1010"/>
      <c r="Y68" s="1010"/>
      <c r="Z68" s="1009">
        <v>1</v>
      </c>
      <c r="AA68" s="1009" t="s">
        <v>2439</v>
      </c>
      <c r="AB68" s="1012">
        <v>0.15920000000000001</v>
      </c>
    </row>
    <row r="69" spans="1:28">
      <c r="A69" s="1007">
        <v>4764858</v>
      </c>
      <c r="B69" s="1008" t="s">
        <v>2363</v>
      </c>
      <c r="C69" s="1009" t="s">
        <v>2437</v>
      </c>
      <c r="D69" s="1010" t="s">
        <v>2485</v>
      </c>
      <c r="E69" s="1011">
        <v>40114</v>
      </c>
      <c r="F69" s="1009">
        <v>87873</v>
      </c>
      <c r="G69" s="1009">
        <v>28</v>
      </c>
      <c r="H69" s="1009">
        <v>224</v>
      </c>
      <c r="I69" s="1009">
        <v>6</v>
      </c>
      <c r="J69" s="1009">
        <v>57</v>
      </c>
      <c r="K69" s="1012">
        <v>7753.49</v>
      </c>
      <c r="L69" s="1004">
        <v>11240</v>
      </c>
      <c r="M69" s="1006">
        <v>1124</v>
      </c>
      <c r="N69" s="1013">
        <v>0.14199999999999999</v>
      </c>
      <c r="O69" s="1013">
        <v>-0.499</v>
      </c>
      <c r="P69" s="1007">
        <v>0</v>
      </c>
      <c r="Q69" s="1007">
        <v>0</v>
      </c>
      <c r="R69" s="1009" t="s">
        <v>2360</v>
      </c>
      <c r="S69" s="1009" t="s">
        <v>593</v>
      </c>
      <c r="T69" s="1009">
        <v>0.25</v>
      </c>
      <c r="U69" s="1009">
        <v>1</v>
      </c>
      <c r="V69" s="1009"/>
      <c r="W69" s="1012">
        <v>12.5</v>
      </c>
      <c r="X69" s="1010"/>
      <c r="Y69" s="1010"/>
      <c r="Z69" s="1009">
        <v>1</v>
      </c>
      <c r="AA69" s="1009" t="s">
        <v>2439</v>
      </c>
      <c r="AB69" s="1012">
        <v>0.15920000000000001</v>
      </c>
    </row>
    <row r="70" spans="1:28">
      <c r="A70" s="1007">
        <v>4764858</v>
      </c>
      <c r="B70" s="1008" t="s">
        <v>2363</v>
      </c>
      <c r="C70" s="1009" t="s">
        <v>2437</v>
      </c>
      <c r="D70" s="1010" t="s">
        <v>2486</v>
      </c>
      <c r="E70" s="1011">
        <v>40147</v>
      </c>
      <c r="F70" s="1009">
        <v>89134</v>
      </c>
      <c r="G70" s="1009">
        <v>33</v>
      </c>
      <c r="H70" s="1009">
        <v>402</v>
      </c>
      <c r="I70" s="1009">
        <v>0</v>
      </c>
      <c r="J70" s="1009">
        <v>53</v>
      </c>
      <c r="K70" s="1012">
        <v>10345.129999999999</v>
      </c>
      <c r="L70" s="1004">
        <v>12610</v>
      </c>
      <c r="M70" s="1006">
        <v>1261</v>
      </c>
      <c r="N70" s="1013">
        <v>0.122</v>
      </c>
      <c r="O70" s="1013">
        <v>-0.32700000000000001</v>
      </c>
      <c r="P70" s="1007">
        <v>0</v>
      </c>
      <c r="Q70" s="1007">
        <v>0</v>
      </c>
      <c r="R70" s="1009" t="s">
        <v>2360</v>
      </c>
      <c r="S70" s="1009" t="s">
        <v>593</v>
      </c>
      <c r="T70" s="1009">
        <v>0.25</v>
      </c>
      <c r="U70" s="1009">
        <v>1</v>
      </c>
      <c r="V70" s="1009"/>
      <c r="W70" s="1012">
        <v>12.5</v>
      </c>
      <c r="X70" s="1010"/>
      <c r="Y70" s="1010"/>
      <c r="Z70" s="1009">
        <v>1</v>
      </c>
      <c r="AA70" s="1009" t="s">
        <v>2439</v>
      </c>
      <c r="AB70" s="1012">
        <v>0.15920000000000001</v>
      </c>
    </row>
    <row r="71" spans="1:28">
      <c r="A71" s="1007">
        <v>4764858</v>
      </c>
      <c r="B71" s="1008" t="s">
        <v>2363</v>
      </c>
      <c r="C71" s="1009" t="s">
        <v>2437</v>
      </c>
      <c r="D71" s="1010" t="s">
        <v>2487</v>
      </c>
      <c r="E71" s="1011">
        <v>40177</v>
      </c>
      <c r="F71" s="1009">
        <v>90837</v>
      </c>
      <c r="G71" s="1009">
        <v>30</v>
      </c>
      <c r="H71" s="1009">
        <v>798</v>
      </c>
      <c r="I71" s="1009">
        <v>0</v>
      </c>
      <c r="J71" s="1009">
        <v>38</v>
      </c>
      <c r="K71" s="1012">
        <v>13556.46</v>
      </c>
      <c r="L71" s="1004">
        <v>17030</v>
      </c>
      <c r="M71" s="1006">
        <v>1703</v>
      </c>
      <c r="N71" s="1013">
        <v>0.35099999999999998</v>
      </c>
      <c r="O71" s="1013">
        <v>-0.26200000000000001</v>
      </c>
      <c r="P71" s="1007">
        <v>0</v>
      </c>
      <c r="Q71" s="1007">
        <v>0</v>
      </c>
      <c r="R71" s="1009" t="s">
        <v>2360</v>
      </c>
      <c r="S71" s="1009" t="s">
        <v>593</v>
      </c>
      <c r="T71" s="1009">
        <v>0.25</v>
      </c>
      <c r="U71" s="1009">
        <v>1</v>
      </c>
      <c r="V71" s="1009"/>
      <c r="W71" s="1012">
        <v>12.5</v>
      </c>
      <c r="X71" s="1010"/>
      <c r="Y71" s="1010"/>
      <c r="Z71" s="1009">
        <v>1</v>
      </c>
      <c r="AA71" s="1009" t="s">
        <v>2439</v>
      </c>
      <c r="AB71" s="1012">
        <v>0.15920000000000001</v>
      </c>
    </row>
    <row r="72" spans="1:28">
      <c r="A72" s="1007">
        <v>4764858</v>
      </c>
      <c r="B72" s="1008" t="s">
        <v>2363</v>
      </c>
      <c r="C72" s="1009" t="s">
        <v>2437</v>
      </c>
      <c r="D72" s="1010" t="s">
        <v>2488</v>
      </c>
      <c r="E72" s="1011">
        <v>40206</v>
      </c>
      <c r="F72" s="1009">
        <v>92388</v>
      </c>
      <c r="G72" s="1009">
        <v>29</v>
      </c>
      <c r="H72" s="1009">
        <v>897</v>
      </c>
      <c r="I72" s="1009">
        <v>0</v>
      </c>
      <c r="J72" s="1009">
        <v>34</v>
      </c>
      <c r="K72" s="1012">
        <v>12673.31</v>
      </c>
      <c r="L72" s="1004">
        <v>15510</v>
      </c>
      <c r="M72" s="1006">
        <v>1551</v>
      </c>
      <c r="N72" s="1013">
        <v>-8.8999999999999996E-2</v>
      </c>
      <c r="O72" s="1013">
        <v>-0.217</v>
      </c>
      <c r="P72" s="1007">
        <v>0</v>
      </c>
      <c r="Q72" s="1007">
        <v>0</v>
      </c>
      <c r="R72" s="1009" t="s">
        <v>2360</v>
      </c>
      <c r="S72" s="1009" t="s">
        <v>593</v>
      </c>
      <c r="T72" s="1009">
        <v>0.25</v>
      </c>
      <c r="U72" s="1009">
        <v>1</v>
      </c>
      <c r="V72" s="1009"/>
      <c r="W72" s="1012">
        <v>12.5</v>
      </c>
      <c r="X72" s="1010"/>
      <c r="Y72" s="1010"/>
      <c r="Z72" s="1009">
        <v>1</v>
      </c>
      <c r="AA72" s="1009" t="s">
        <v>2439</v>
      </c>
      <c r="AB72" s="1012">
        <v>0.15920000000000001</v>
      </c>
    </row>
    <row r="73" spans="1:28">
      <c r="A73" s="998">
        <v>4764858</v>
      </c>
      <c r="B73" s="999" t="s">
        <v>2363</v>
      </c>
      <c r="C73" s="1000" t="s">
        <v>2437</v>
      </c>
      <c r="D73" s="1001" t="s">
        <v>2489</v>
      </c>
      <c r="E73" s="1002">
        <v>40234</v>
      </c>
      <c r="F73" s="1000">
        <v>93729</v>
      </c>
      <c r="G73" s="1000">
        <v>28</v>
      </c>
      <c r="H73" s="1000">
        <v>906</v>
      </c>
      <c r="I73" s="1000">
        <v>0</v>
      </c>
      <c r="J73" s="1000">
        <v>33</v>
      </c>
      <c r="K73" s="1003">
        <v>11023.45</v>
      </c>
      <c r="L73" s="1004">
        <v>13410</v>
      </c>
      <c r="M73" s="1006">
        <v>1341</v>
      </c>
      <c r="N73" s="1005">
        <v>-0.13500000000000001</v>
      </c>
      <c r="O73" s="1005">
        <v>-0.05</v>
      </c>
      <c r="P73" s="998">
        <v>0</v>
      </c>
      <c r="Q73" s="998">
        <v>0</v>
      </c>
      <c r="R73" s="1000" t="s">
        <v>2360</v>
      </c>
      <c r="S73" s="1000" t="s">
        <v>593</v>
      </c>
      <c r="T73" s="1000">
        <v>0.25</v>
      </c>
      <c r="U73" s="1000">
        <v>1</v>
      </c>
      <c r="V73" s="1000"/>
      <c r="W73" s="1003">
        <v>12.5</v>
      </c>
      <c r="X73" s="1001"/>
      <c r="Y73" s="1001"/>
      <c r="Z73" s="1000">
        <v>1</v>
      </c>
      <c r="AA73" s="1000" t="s">
        <v>2439</v>
      </c>
      <c r="AB73" s="1003">
        <v>0.15920000000000001</v>
      </c>
    </row>
    <row r="74" spans="1:28">
      <c r="A74" s="1007">
        <v>4764858</v>
      </c>
      <c r="B74" s="1008" t="s">
        <v>2363</v>
      </c>
      <c r="C74" s="1009" t="s">
        <v>2437</v>
      </c>
      <c r="D74" s="1010" t="s">
        <v>2490</v>
      </c>
      <c r="E74" s="1011">
        <v>40263</v>
      </c>
      <c r="F74" s="1009">
        <v>95201</v>
      </c>
      <c r="G74" s="1009">
        <v>29</v>
      </c>
      <c r="H74" s="1009">
        <v>495</v>
      </c>
      <c r="I74" s="1009">
        <v>0</v>
      </c>
      <c r="J74" s="1009">
        <v>48</v>
      </c>
      <c r="K74" s="1012">
        <v>12149.14</v>
      </c>
      <c r="L74" s="1004">
        <v>14720</v>
      </c>
      <c r="M74" s="1006">
        <v>1472</v>
      </c>
      <c r="N74" s="1013">
        <v>9.8000000000000004E-2</v>
      </c>
      <c r="O74" s="1013">
        <v>-0.26500000000000001</v>
      </c>
      <c r="P74" s="1007">
        <v>0</v>
      </c>
      <c r="Q74" s="1007">
        <v>0</v>
      </c>
      <c r="R74" s="1009" t="s">
        <v>2360</v>
      </c>
      <c r="S74" s="1009" t="s">
        <v>593</v>
      </c>
      <c r="T74" s="1009">
        <v>0.25</v>
      </c>
      <c r="U74" s="1009">
        <v>1</v>
      </c>
      <c r="V74" s="1009"/>
      <c r="W74" s="1012">
        <v>12.5</v>
      </c>
      <c r="X74" s="1010"/>
      <c r="Y74" s="1010"/>
      <c r="Z74" s="1009">
        <v>1</v>
      </c>
      <c r="AA74" s="1009" t="s">
        <v>2439</v>
      </c>
      <c r="AB74" s="1012">
        <v>0.15920000000000001</v>
      </c>
    </row>
    <row r="75" spans="1:28">
      <c r="A75" s="1007">
        <v>4764858</v>
      </c>
      <c r="B75" s="1008" t="s">
        <v>2363</v>
      </c>
      <c r="C75" s="1009" t="s">
        <v>2437</v>
      </c>
      <c r="D75" s="1010" t="s">
        <v>2491</v>
      </c>
      <c r="E75" s="1011">
        <v>40298</v>
      </c>
      <c r="F75" s="1009">
        <v>96570</v>
      </c>
      <c r="G75" s="1009">
        <v>35</v>
      </c>
      <c r="H75" s="1009">
        <v>253</v>
      </c>
      <c r="I75" s="1009">
        <v>42</v>
      </c>
      <c r="J75" s="1009">
        <v>59</v>
      </c>
      <c r="K75" s="1012">
        <v>10616.78</v>
      </c>
      <c r="L75" s="1004">
        <v>13690</v>
      </c>
      <c r="M75" s="1006">
        <v>1369</v>
      </c>
      <c r="N75" s="1013">
        <v>-7.0000000000000007E-2</v>
      </c>
      <c r="O75" s="1013">
        <v>-0.24099999999999999</v>
      </c>
      <c r="P75" s="1007">
        <v>0</v>
      </c>
      <c r="Q75" s="1007">
        <v>0</v>
      </c>
      <c r="R75" s="1009" t="s">
        <v>2360</v>
      </c>
      <c r="S75" s="1009" t="s">
        <v>593</v>
      </c>
      <c r="T75" s="1009">
        <v>0.25</v>
      </c>
      <c r="U75" s="1009">
        <v>1</v>
      </c>
      <c r="V75" s="1009"/>
      <c r="W75" s="1012">
        <v>12.5</v>
      </c>
      <c r="X75" s="1010"/>
      <c r="Y75" s="1010"/>
      <c r="Z75" s="1009">
        <v>1</v>
      </c>
      <c r="AA75" s="1009" t="s">
        <v>2439</v>
      </c>
      <c r="AB75" s="1012">
        <v>0.15920000000000001</v>
      </c>
    </row>
    <row r="76" spans="1:28">
      <c r="A76" s="998">
        <v>4764858</v>
      </c>
      <c r="B76" s="999" t="s">
        <v>2363</v>
      </c>
      <c r="C76" s="1000" t="s">
        <v>2437</v>
      </c>
      <c r="D76" s="1001" t="s">
        <v>2492</v>
      </c>
      <c r="E76" s="1002">
        <v>40324</v>
      </c>
      <c r="F76" s="1000">
        <v>97425</v>
      </c>
      <c r="G76" s="1000">
        <v>26</v>
      </c>
      <c r="H76" s="1000">
        <v>57</v>
      </c>
      <c r="I76" s="1000">
        <v>102</v>
      </c>
      <c r="J76" s="1000">
        <v>67</v>
      </c>
      <c r="K76" s="1003">
        <v>6411.32</v>
      </c>
      <c r="L76" s="1004">
        <v>8550</v>
      </c>
      <c r="M76" s="940">
        <v>855</v>
      </c>
      <c r="N76" s="1005">
        <v>-0.375</v>
      </c>
      <c r="O76" s="1005">
        <v>-8.8999999999999996E-2</v>
      </c>
      <c r="P76" s="998">
        <v>0</v>
      </c>
      <c r="Q76" s="998">
        <v>0</v>
      </c>
      <c r="R76" s="1000" t="s">
        <v>2360</v>
      </c>
      <c r="S76" s="1000" t="s">
        <v>593</v>
      </c>
      <c r="T76" s="1000">
        <v>0.25</v>
      </c>
      <c r="U76" s="1000">
        <v>1</v>
      </c>
      <c r="V76" s="1000"/>
      <c r="W76" s="1003">
        <v>12.5</v>
      </c>
      <c r="X76" s="1001"/>
      <c r="Y76" s="1001"/>
      <c r="Z76" s="1000">
        <v>1</v>
      </c>
      <c r="AA76" s="1000" t="s">
        <v>2439</v>
      </c>
      <c r="AB76" s="1003">
        <v>0.15920000000000001</v>
      </c>
    </row>
    <row r="77" spans="1:28">
      <c r="A77" s="1007">
        <v>4764858</v>
      </c>
      <c r="B77" s="1008" t="s">
        <v>2363</v>
      </c>
      <c r="C77" s="1009" t="s">
        <v>2437</v>
      </c>
      <c r="D77" s="1010" t="s">
        <v>2493</v>
      </c>
      <c r="E77" s="1011">
        <v>40354</v>
      </c>
      <c r="F77" s="1009">
        <v>98195</v>
      </c>
      <c r="G77" s="1009">
        <v>30</v>
      </c>
      <c r="H77" s="1009">
        <v>0</v>
      </c>
      <c r="I77" s="1009">
        <v>359</v>
      </c>
      <c r="J77" s="1009">
        <v>77</v>
      </c>
      <c r="K77" s="1012">
        <v>5762.86</v>
      </c>
      <c r="L77" s="1004">
        <v>7700</v>
      </c>
      <c r="M77" s="940">
        <v>770</v>
      </c>
      <c r="N77" s="1013">
        <v>-9.9000000000000005E-2</v>
      </c>
      <c r="O77" s="1013">
        <v>-0.16500000000000001</v>
      </c>
      <c r="P77" s="1007">
        <v>0</v>
      </c>
      <c r="Q77" s="1007">
        <v>0</v>
      </c>
      <c r="R77" s="1009" t="s">
        <v>2360</v>
      </c>
      <c r="S77" s="1009" t="s">
        <v>593</v>
      </c>
      <c r="T77" s="1009">
        <v>0.25</v>
      </c>
      <c r="U77" s="1009">
        <v>1</v>
      </c>
      <c r="V77" s="1009"/>
      <c r="W77" s="1012">
        <v>12.5</v>
      </c>
      <c r="X77" s="1010"/>
      <c r="Y77" s="1010"/>
      <c r="Z77" s="1009">
        <v>1</v>
      </c>
      <c r="AA77" s="1009" t="s">
        <v>2439</v>
      </c>
      <c r="AB77" s="1012">
        <v>0.15920000000000001</v>
      </c>
    </row>
    <row r="78" spans="1:28">
      <c r="A78" s="1007">
        <v>4764858</v>
      </c>
      <c r="B78" s="1008" t="s">
        <v>2363</v>
      </c>
      <c r="C78" s="1009" t="s">
        <v>2437</v>
      </c>
      <c r="D78" s="1010" t="s">
        <v>2494</v>
      </c>
      <c r="E78" s="1011">
        <v>40387</v>
      </c>
      <c r="F78" s="1009">
        <v>99151</v>
      </c>
      <c r="G78" s="1009">
        <v>33</v>
      </c>
      <c r="H78" s="1009">
        <v>0</v>
      </c>
      <c r="I78" s="1009">
        <v>496</v>
      </c>
      <c r="J78" s="1009">
        <v>80</v>
      </c>
      <c r="K78" s="1012">
        <v>8083.05</v>
      </c>
      <c r="L78" s="1004">
        <v>9560</v>
      </c>
      <c r="M78" s="940">
        <v>956</v>
      </c>
      <c r="N78" s="1013">
        <v>0.24199999999999999</v>
      </c>
      <c r="O78" s="1013">
        <v>0.216</v>
      </c>
      <c r="P78" s="1007">
        <v>0</v>
      </c>
      <c r="Q78" s="1007">
        <v>0</v>
      </c>
      <c r="R78" s="1009" t="s">
        <v>2360</v>
      </c>
      <c r="S78" s="1009" t="s">
        <v>593</v>
      </c>
      <c r="T78" s="1009">
        <v>0.25</v>
      </c>
      <c r="U78" s="1009">
        <v>1</v>
      </c>
      <c r="V78" s="1009"/>
      <c r="W78" s="1012">
        <v>12.5</v>
      </c>
      <c r="X78" s="1010"/>
      <c r="Y78" s="1010"/>
      <c r="Z78" s="1009">
        <v>1</v>
      </c>
      <c r="AA78" s="1009" t="s">
        <v>2439</v>
      </c>
      <c r="AB78" s="1012">
        <v>0.15920000000000001</v>
      </c>
    </row>
    <row r="79" spans="1:28">
      <c r="A79" s="1007">
        <v>4764858</v>
      </c>
      <c r="B79" s="1008" t="s">
        <v>2363</v>
      </c>
      <c r="C79" s="1009" t="s">
        <v>2437</v>
      </c>
      <c r="D79" s="1010" t="s">
        <v>2495</v>
      </c>
      <c r="E79" s="1011">
        <v>40419</v>
      </c>
      <c r="F79" s="1009">
        <v>100083</v>
      </c>
      <c r="G79" s="1009">
        <v>32</v>
      </c>
      <c r="H79" s="1009">
        <v>0</v>
      </c>
      <c r="I79" s="1009">
        <v>399</v>
      </c>
      <c r="J79" s="1009">
        <v>77</v>
      </c>
      <c r="K79" s="1012">
        <v>7485.27</v>
      </c>
      <c r="L79" s="1004">
        <v>9320</v>
      </c>
      <c r="M79" s="940">
        <v>932</v>
      </c>
      <c r="N79" s="1013">
        <v>-2.5000000000000001E-2</v>
      </c>
      <c r="O79" s="1013">
        <v>0.20599999999999999</v>
      </c>
      <c r="P79" s="1007">
        <v>0</v>
      </c>
      <c r="Q79" s="1007">
        <v>0</v>
      </c>
      <c r="R79" s="1009" t="s">
        <v>2360</v>
      </c>
      <c r="S79" s="1009" t="s">
        <v>593</v>
      </c>
      <c r="T79" s="1009">
        <v>0.25</v>
      </c>
      <c r="U79" s="1009">
        <v>1</v>
      </c>
      <c r="V79" s="1009"/>
      <c r="W79" s="1012">
        <v>12.5</v>
      </c>
      <c r="X79" s="1010"/>
      <c r="Y79" s="1010"/>
      <c r="Z79" s="1009">
        <v>1</v>
      </c>
      <c r="AA79" s="1009" t="s">
        <v>2439</v>
      </c>
      <c r="AB79" s="1012">
        <v>0.15920000000000001</v>
      </c>
    </row>
    <row r="80" spans="1:28">
      <c r="A80" s="998">
        <v>4764858</v>
      </c>
      <c r="B80" s="999" t="s">
        <v>2363</v>
      </c>
      <c r="C80" s="1000" t="s">
        <v>2437</v>
      </c>
      <c r="D80" s="1001" t="s">
        <v>2496</v>
      </c>
      <c r="E80" s="1002">
        <v>40448</v>
      </c>
      <c r="F80" s="1000">
        <v>100957</v>
      </c>
      <c r="G80" s="1000">
        <v>29</v>
      </c>
      <c r="H80" s="1000">
        <v>6</v>
      </c>
      <c r="I80" s="1000">
        <v>252</v>
      </c>
      <c r="J80" s="1000">
        <v>73</v>
      </c>
      <c r="K80" s="1003">
        <v>6763.28</v>
      </c>
      <c r="L80" s="1004">
        <v>8740</v>
      </c>
      <c r="M80" s="940">
        <v>874</v>
      </c>
      <c r="N80" s="1005">
        <v>-6.2E-2</v>
      </c>
      <c r="O80" s="1005">
        <v>-0.112</v>
      </c>
      <c r="P80" s="998">
        <v>0</v>
      </c>
      <c r="Q80" s="998">
        <v>0</v>
      </c>
      <c r="R80" s="1000" t="s">
        <v>2360</v>
      </c>
      <c r="S80" s="1000" t="s">
        <v>593</v>
      </c>
      <c r="T80" s="1000">
        <v>0.25</v>
      </c>
      <c r="U80" s="1000">
        <v>1</v>
      </c>
      <c r="V80" s="1000"/>
      <c r="W80" s="1003">
        <v>12.5</v>
      </c>
      <c r="X80" s="1001"/>
      <c r="Y80" s="1001"/>
      <c r="Z80" s="1000">
        <v>1</v>
      </c>
      <c r="AA80" s="1000" t="s">
        <v>2439</v>
      </c>
      <c r="AB80" s="1003">
        <v>0.15920000000000001</v>
      </c>
    </row>
    <row r="81" spans="1:28">
      <c r="A81" s="998">
        <v>4764858</v>
      </c>
      <c r="B81" s="999" t="s">
        <v>2363</v>
      </c>
      <c r="C81" s="1000" t="s">
        <v>2437</v>
      </c>
      <c r="D81" s="1001" t="s">
        <v>2497</v>
      </c>
      <c r="E81" s="1002">
        <v>40479</v>
      </c>
      <c r="F81" s="1000">
        <v>102119</v>
      </c>
      <c r="G81" s="1000">
        <v>31</v>
      </c>
      <c r="H81" s="1000">
        <v>130</v>
      </c>
      <c r="I81" s="1000">
        <v>27</v>
      </c>
      <c r="J81" s="1000">
        <v>62</v>
      </c>
      <c r="K81" s="1003">
        <v>8512.5300000000007</v>
      </c>
      <c r="L81" s="1004">
        <v>11620</v>
      </c>
      <c r="M81" s="1006">
        <v>1162</v>
      </c>
      <c r="N81" s="1005">
        <v>0.33</v>
      </c>
      <c r="O81" s="1005">
        <v>3.4000000000000002E-2</v>
      </c>
      <c r="P81" s="998">
        <v>0</v>
      </c>
      <c r="Q81" s="998">
        <v>0</v>
      </c>
      <c r="R81" s="1000" t="s">
        <v>2360</v>
      </c>
      <c r="S81" s="1000" t="s">
        <v>593</v>
      </c>
      <c r="T81" s="1000">
        <v>0.25</v>
      </c>
      <c r="U81" s="1000">
        <v>1</v>
      </c>
      <c r="V81" s="1000"/>
      <c r="W81" s="1003">
        <v>12.5</v>
      </c>
      <c r="X81" s="1001"/>
      <c r="Y81" s="1001"/>
      <c r="Z81" s="1000">
        <v>1</v>
      </c>
      <c r="AA81" s="1000" t="s">
        <v>2439</v>
      </c>
      <c r="AB81" s="1003">
        <v>0.15920000000000001</v>
      </c>
    </row>
    <row r="82" spans="1:28">
      <c r="A82" s="1007">
        <v>4764858</v>
      </c>
      <c r="B82" s="1008" t="s">
        <v>2363</v>
      </c>
      <c r="C82" s="1009" t="s">
        <v>2437</v>
      </c>
      <c r="D82" s="1010" t="s">
        <v>2498</v>
      </c>
      <c r="E82" s="1011">
        <v>40512</v>
      </c>
      <c r="F82" s="1009">
        <v>103676</v>
      </c>
      <c r="G82" s="1009">
        <v>33</v>
      </c>
      <c r="H82" s="1009">
        <v>550</v>
      </c>
      <c r="I82" s="1009">
        <v>0</v>
      </c>
      <c r="J82" s="1009">
        <v>48</v>
      </c>
      <c r="K82" s="1012">
        <v>12424.9</v>
      </c>
      <c r="L82" s="1004">
        <v>15570</v>
      </c>
      <c r="M82" s="1006">
        <v>1557</v>
      </c>
      <c r="N82" s="1013">
        <v>0.34</v>
      </c>
      <c r="O82" s="1013">
        <v>0.23499999999999999</v>
      </c>
      <c r="P82" s="1007">
        <v>0</v>
      </c>
      <c r="Q82" s="1007">
        <v>0</v>
      </c>
      <c r="R82" s="1009" t="s">
        <v>2360</v>
      </c>
      <c r="S82" s="1009" t="s">
        <v>593</v>
      </c>
      <c r="T82" s="1009">
        <v>0.25</v>
      </c>
      <c r="U82" s="1009">
        <v>1</v>
      </c>
      <c r="V82" s="1009"/>
      <c r="W82" s="1012">
        <v>12.5</v>
      </c>
      <c r="X82" s="1010"/>
      <c r="Y82" s="1010"/>
      <c r="Z82" s="1009">
        <v>1</v>
      </c>
      <c r="AA82" s="1009" t="s">
        <v>2439</v>
      </c>
      <c r="AB82" s="1012">
        <v>0.15920000000000001</v>
      </c>
    </row>
    <row r="83" spans="1:28">
      <c r="A83" s="1007">
        <v>4764858</v>
      </c>
      <c r="B83" s="1008" t="s">
        <v>2363</v>
      </c>
      <c r="C83" s="1009" t="s">
        <v>2437</v>
      </c>
      <c r="D83" s="1010" t="s">
        <v>2499</v>
      </c>
      <c r="E83" s="1011">
        <v>40540</v>
      </c>
      <c r="F83" s="1009">
        <v>105026</v>
      </c>
      <c r="G83" s="1009">
        <v>28</v>
      </c>
      <c r="H83" s="1009">
        <v>933</v>
      </c>
      <c r="I83" s="1009">
        <v>0</v>
      </c>
      <c r="J83" s="1009">
        <v>32</v>
      </c>
      <c r="K83" s="1012">
        <v>11050.1</v>
      </c>
      <c r="L83" s="1004">
        <v>13500</v>
      </c>
      <c r="M83" s="1006">
        <v>1350</v>
      </c>
      <c r="N83" s="1013">
        <v>-0.13300000000000001</v>
      </c>
      <c r="O83" s="1013">
        <v>-0.20699999999999999</v>
      </c>
      <c r="P83" s="1007">
        <v>0</v>
      </c>
      <c r="Q83" s="1007">
        <v>0</v>
      </c>
      <c r="R83" s="1009" t="s">
        <v>2360</v>
      </c>
      <c r="S83" s="1009" t="s">
        <v>593</v>
      </c>
      <c r="T83" s="1009">
        <v>0.25</v>
      </c>
      <c r="U83" s="1009">
        <v>1</v>
      </c>
      <c r="V83" s="1009"/>
      <c r="W83" s="1012">
        <v>12.5</v>
      </c>
      <c r="X83" s="1010"/>
      <c r="Y83" s="1010"/>
      <c r="Z83" s="1009">
        <v>1</v>
      </c>
      <c r="AA83" s="1009" t="s">
        <v>2439</v>
      </c>
      <c r="AB83" s="1012">
        <v>0.15920000000000001</v>
      </c>
    </row>
    <row r="84" spans="1:28">
      <c r="A84" s="998">
        <v>4764858</v>
      </c>
      <c r="B84" s="999" t="s">
        <v>2363</v>
      </c>
      <c r="C84" s="1000" t="s">
        <v>2437</v>
      </c>
      <c r="D84" s="1001" t="s">
        <v>2500</v>
      </c>
      <c r="E84" s="1002">
        <v>40570</v>
      </c>
      <c r="F84" s="1000">
        <v>106604</v>
      </c>
      <c r="G84" s="1000">
        <v>30</v>
      </c>
      <c r="H84" s="1000">
        <v>922</v>
      </c>
      <c r="I84" s="1000">
        <v>0</v>
      </c>
      <c r="J84" s="1000">
        <v>34</v>
      </c>
      <c r="K84" s="1003">
        <v>12980.51</v>
      </c>
      <c r="L84" s="1004">
        <v>15780</v>
      </c>
      <c r="M84" s="1006">
        <v>1578</v>
      </c>
      <c r="N84" s="1005">
        <v>0.16900000000000001</v>
      </c>
      <c r="O84" s="1005">
        <v>1.7000000000000001E-2</v>
      </c>
      <c r="P84" s="998">
        <v>0</v>
      </c>
      <c r="Q84" s="998">
        <v>0</v>
      </c>
      <c r="R84" s="1000" t="s">
        <v>2360</v>
      </c>
      <c r="S84" s="1000" t="s">
        <v>593</v>
      </c>
      <c r="T84" s="1000">
        <v>0.25</v>
      </c>
      <c r="U84" s="1000">
        <v>1</v>
      </c>
      <c r="V84" s="1000"/>
      <c r="W84" s="1003">
        <v>12.5</v>
      </c>
      <c r="X84" s="1001"/>
      <c r="Y84" s="1001"/>
      <c r="Z84" s="1000">
        <v>1</v>
      </c>
      <c r="AA84" s="1000" t="s">
        <v>2439</v>
      </c>
      <c r="AB84" s="1003">
        <v>0.15920000000000001</v>
      </c>
    </row>
    <row r="85" spans="1:28">
      <c r="A85" s="998">
        <v>4764858</v>
      </c>
      <c r="B85" s="999" t="s">
        <v>2363</v>
      </c>
      <c r="C85" s="1000" t="s">
        <v>2437</v>
      </c>
      <c r="D85" s="1001" t="s">
        <v>2501</v>
      </c>
      <c r="E85" s="1002">
        <v>40598</v>
      </c>
      <c r="F85" s="1000">
        <v>107995</v>
      </c>
      <c r="G85" s="1000">
        <v>28</v>
      </c>
      <c r="H85" s="1000">
        <v>641</v>
      </c>
      <c r="I85" s="1000">
        <v>0</v>
      </c>
      <c r="J85" s="1000">
        <v>42</v>
      </c>
      <c r="K85" s="1003">
        <v>11833.22</v>
      </c>
      <c r="L85" s="1004">
        <v>13910</v>
      </c>
      <c r="M85" s="1006">
        <v>1391</v>
      </c>
      <c r="N85" s="1005">
        <v>-0.11899999999999999</v>
      </c>
      <c r="O85" s="1005">
        <v>3.6999999999999998E-2</v>
      </c>
      <c r="P85" s="998">
        <v>0</v>
      </c>
      <c r="Q85" s="998">
        <v>0</v>
      </c>
      <c r="R85" s="1000" t="s">
        <v>2360</v>
      </c>
      <c r="S85" s="1000" t="s">
        <v>593</v>
      </c>
      <c r="T85" s="1000">
        <v>0.25</v>
      </c>
      <c r="U85" s="1000">
        <v>1</v>
      </c>
      <c r="V85" s="1000"/>
      <c r="W85" s="1003">
        <v>12.5</v>
      </c>
      <c r="X85" s="1001"/>
      <c r="Y85" s="1001"/>
      <c r="Z85" s="1000">
        <v>1</v>
      </c>
      <c r="AA85" s="1000" t="s">
        <v>2439</v>
      </c>
      <c r="AB85" s="1003">
        <v>0.15920000000000001</v>
      </c>
    </row>
    <row r="86" spans="1:28">
      <c r="A86" s="998">
        <v>4764858</v>
      </c>
      <c r="B86" s="999" t="s">
        <v>2363</v>
      </c>
      <c r="C86" s="1000" t="s">
        <v>2437</v>
      </c>
      <c r="D86" s="1001" t="s">
        <v>2502</v>
      </c>
      <c r="E86" s="1002">
        <v>40631</v>
      </c>
      <c r="F86" s="1000">
        <v>109459</v>
      </c>
      <c r="G86" s="1000">
        <v>33</v>
      </c>
      <c r="H86" s="1000">
        <v>559</v>
      </c>
      <c r="I86" s="1000">
        <v>6</v>
      </c>
      <c r="J86" s="1000">
        <v>48</v>
      </c>
      <c r="K86" s="1003">
        <v>11963.13</v>
      </c>
      <c r="L86" s="1004">
        <v>14640</v>
      </c>
      <c r="M86" s="1006">
        <v>1464</v>
      </c>
      <c r="N86" s="1005">
        <v>5.1999999999999998E-2</v>
      </c>
      <c r="O86" s="1005">
        <v>-5.0000000000000001E-3</v>
      </c>
      <c r="P86" s="998">
        <v>0</v>
      </c>
      <c r="Q86" s="998">
        <v>0</v>
      </c>
      <c r="R86" s="1000" t="s">
        <v>2360</v>
      </c>
      <c r="S86" s="1000" t="s">
        <v>593</v>
      </c>
      <c r="T86" s="1000">
        <v>0.25</v>
      </c>
      <c r="U86" s="1000">
        <v>1</v>
      </c>
      <c r="V86" s="1000"/>
      <c r="W86" s="1003">
        <v>12.5</v>
      </c>
      <c r="X86" s="1001"/>
      <c r="Y86" s="1001"/>
      <c r="Z86" s="1000">
        <v>1</v>
      </c>
      <c r="AA86" s="1000" t="s">
        <v>2439</v>
      </c>
      <c r="AB86" s="1003">
        <v>0.15920000000000001</v>
      </c>
    </row>
    <row r="87" spans="1:28">
      <c r="A87" s="998">
        <v>4764858</v>
      </c>
      <c r="B87" s="999" t="s">
        <v>2363</v>
      </c>
      <c r="C87" s="1000" t="s">
        <v>2437</v>
      </c>
      <c r="D87" s="1001" t="s">
        <v>2503</v>
      </c>
      <c r="E87" s="1002">
        <v>40661</v>
      </c>
      <c r="F87" s="1000">
        <v>110631</v>
      </c>
      <c r="G87" s="1000">
        <v>30</v>
      </c>
      <c r="H87" s="1000">
        <v>240</v>
      </c>
      <c r="I87" s="1000">
        <v>48</v>
      </c>
      <c r="J87" s="1000">
        <v>59</v>
      </c>
      <c r="K87" s="1003">
        <v>8808.36</v>
      </c>
      <c r="L87" s="1004">
        <v>11720</v>
      </c>
      <c r="M87" s="1006">
        <v>1172</v>
      </c>
      <c r="N87" s="1005">
        <v>-0.19900000000000001</v>
      </c>
      <c r="O87" s="1005">
        <v>-0.14399999999999999</v>
      </c>
      <c r="P87" s="998">
        <v>0</v>
      </c>
      <c r="Q87" s="998">
        <v>0</v>
      </c>
      <c r="R87" s="1000" t="s">
        <v>2360</v>
      </c>
      <c r="S87" s="1000" t="s">
        <v>593</v>
      </c>
      <c r="T87" s="1000">
        <v>0.25</v>
      </c>
      <c r="U87" s="1000">
        <v>1</v>
      </c>
      <c r="V87" s="1000"/>
      <c r="W87" s="1003">
        <v>12.5</v>
      </c>
      <c r="X87" s="1001"/>
      <c r="Y87" s="1001"/>
      <c r="Z87" s="1000">
        <v>1</v>
      </c>
      <c r="AA87" s="1000" t="s">
        <v>2439</v>
      </c>
      <c r="AB87" s="1003">
        <v>0.15920000000000001</v>
      </c>
    </row>
    <row r="88" spans="1:28">
      <c r="A88" s="1007">
        <v>4764858</v>
      </c>
      <c r="B88" s="1008" t="s">
        <v>2363</v>
      </c>
      <c r="C88" s="1009" t="s">
        <v>2437</v>
      </c>
      <c r="D88" s="1010" t="s">
        <v>2504</v>
      </c>
      <c r="E88" s="1011">
        <v>40689</v>
      </c>
      <c r="F88" s="1009">
        <v>111615</v>
      </c>
      <c r="G88" s="1009">
        <v>28</v>
      </c>
      <c r="H88" s="1009">
        <v>76</v>
      </c>
      <c r="I88" s="1009">
        <v>50</v>
      </c>
      <c r="J88" s="1009">
        <v>64</v>
      </c>
      <c r="K88" s="1012">
        <v>7352.16</v>
      </c>
      <c r="L88" s="1004">
        <v>9840</v>
      </c>
      <c r="M88" s="940">
        <v>984</v>
      </c>
      <c r="N88" s="1013">
        <v>-0.16</v>
      </c>
      <c r="O88" s="1013">
        <v>0.151</v>
      </c>
      <c r="P88" s="1007">
        <v>0</v>
      </c>
      <c r="Q88" s="1007">
        <v>0</v>
      </c>
      <c r="R88" s="1009" t="s">
        <v>2360</v>
      </c>
      <c r="S88" s="1009" t="s">
        <v>593</v>
      </c>
      <c r="T88" s="1009">
        <v>0.25</v>
      </c>
      <c r="U88" s="1009">
        <v>1</v>
      </c>
      <c r="V88" s="1009"/>
      <c r="W88" s="1012">
        <v>12.5</v>
      </c>
      <c r="X88" s="1010"/>
      <c r="Y88" s="1010"/>
      <c r="Z88" s="1009">
        <v>1</v>
      </c>
      <c r="AA88" s="1009" t="s">
        <v>2439</v>
      </c>
      <c r="AB88" s="1012">
        <v>0.15920000000000001</v>
      </c>
    </row>
    <row r="89" spans="1:28">
      <c r="A89" s="998">
        <v>4764858</v>
      </c>
      <c r="B89" s="999" t="s">
        <v>2363</v>
      </c>
      <c r="C89" s="1000" t="s">
        <v>2437</v>
      </c>
      <c r="D89" s="1001" t="s">
        <v>2505</v>
      </c>
      <c r="E89" s="1002">
        <v>40723</v>
      </c>
      <c r="F89" s="1000">
        <v>112299</v>
      </c>
      <c r="G89" s="1000">
        <v>34</v>
      </c>
      <c r="H89" s="1000">
        <v>0</v>
      </c>
      <c r="I89" s="1000">
        <v>376</v>
      </c>
      <c r="J89" s="1000">
        <v>76</v>
      </c>
      <c r="K89" s="1003">
        <v>5121.9799999999996</v>
      </c>
      <c r="L89" s="1004">
        <v>6840</v>
      </c>
      <c r="M89" s="940">
        <v>684</v>
      </c>
      <c r="N89" s="1005">
        <v>-0.30499999999999999</v>
      </c>
      <c r="O89" s="1005">
        <v>-0.112</v>
      </c>
      <c r="P89" s="998">
        <v>0</v>
      </c>
      <c r="Q89" s="998">
        <v>0</v>
      </c>
      <c r="R89" s="1000" t="s">
        <v>2360</v>
      </c>
      <c r="S89" s="1000" t="s">
        <v>593</v>
      </c>
      <c r="T89" s="1000">
        <v>0.25</v>
      </c>
      <c r="U89" s="1000">
        <v>1</v>
      </c>
      <c r="V89" s="1000"/>
      <c r="W89" s="1003">
        <v>12.5</v>
      </c>
      <c r="X89" s="1001"/>
      <c r="Y89" s="1001"/>
      <c r="Z89" s="1000">
        <v>1</v>
      </c>
      <c r="AA89" s="1000" t="s">
        <v>2439</v>
      </c>
      <c r="AB89" s="1003">
        <v>0.15920000000000001</v>
      </c>
    </row>
    <row r="90" spans="1:28">
      <c r="A90" s="998">
        <v>4764858</v>
      </c>
      <c r="B90" s="999" t="s">
        <v>2363</v>
      </c>
      <c r="C90" s="1000" t="s">
        <v>2437</v>
      </c>
      <c r="D90" s="1001" t="s">
        <v>2506</v>
      </c>
      <c r="E90" s="1002">
        <v>40751</v>
      </c>
      <c r="F90" s="1000">
        <v>113112</v>
      </c>
      <c r="G90" s="1000">
        <v>28</v>
      </c>
      <c r="H90" s="1000">
        <v>0</v>
      </c>
      <c r="I90" s="1000">
        <v>411</v>
      </c>
      <c r="J90" s="1000">
        <v>80</v>
      </c>
      <c r="K90" s="1003">
        <v>6170.98</v>
      </c>
      <c r="L90" s="1004">
        <v>8130</v>
      </c>
      <c r="M90" s="940">
        <v>813</v>
      </c>
      <c r="N90" s="1005">
        <v>0.189</v>
      </c>
      <c r="O90" s="1005">
        <v>-0.15</v>
      </c>
      <c r="P90" s="998">
        <v>0</v>
      </c>
      <c r="Q90" s="998">
        <v>0</v>
      </c>
      <c r="R90" s="1000" t="s">
        <v>2360</v>
      </c>
      <c r="S90" s="1000" t="s">
        <v>593</v>
      </c>
      <c r="T90" s="1000">
        <v>0.25</v>
      </c>
      <c r="U90" s="1000">
        <v>1</v>
      </c>
      <c r="V90" s="1000"/>
      <c r="W90" s="1003">
        <v>12.5</v>
      </c>
      <c r="X90" s="1001"/>
      <c r="Y90" s="1001"/>
      <c r="Z90" s="1000">
        <v>1</v>
      </c>
      <c r="AA90" s="1000" t="s">
        <v>2439</v>
      </c>
      <c r="AB90" s="1003">
        <v>0.15920000000000001</v>
      </c>
    </row>
    <row r="91" spans="1:28">
      <c r="A91" s="1007">
        <v>4764858</v>
      </c>
      <c r="B91" s="1008" t="s">
        <v>2363</v>
      </c>
      <c r="C91" s="1009" t="s">
        <v>2437</v>
      </c>
      <c r="D91" s="1010" t="s">
        <v>2507</v>
      </c>
      <c r="E91" s="1011">
        <v>40784</v>
      </c>
      <c r="F91" s="1009">
        <v>113852</v>
      </c>
      <c r="G91" s="1009">
        <v>33</v>
      </c>
      <c r="H91" s="1009">
        <v>0</v>
      </c>
      <c r="I91" s="1009">
        <v>471</v>
      </c>
      <c r="J91" s="1009">
        <v>79</v>
      </c>
      <c r="K91" s="1012">
        <v>6235.9</v>
      </c>
      <c r="L91" s="1004">
        <v>7400</v>
      </c>
      <c r="M91" s="940">
        <v>740</v>
      </c>
      <c r="N91" s="1013">
        <v>-0.09</v>
      </c>
      <c r="O91" s="1013">
        <v>-0.20599999999999999</v>
      </c>
      <c r="P91" s="1007">
        <v>0</v>
      </c>
      <c r="Q91" s="1007">
        <v>0</v>
      </c>
      <c r="R91" s="1009" t="s">
        <v>2360</v>
      </c>
      <c r="S91" s="1009" t="s">
        <v>593</v>
      </c>
      <c r="T91" s="1009">
        <v>0.25</v>
      </c>
      <c r="U91" s="1009">
        <v>1</v>
      </c>
      <c r="V91" s="1009"/>
      <c r="W91" s="1012">
        <v>12.5</v>
      </c>
      <c r="X91" s="1010"/>
      <c r="Y91" s="1010"/>
      <c r="Z91" s="1009">
        <v>1</v>
      </c>
      <c r="AA91" s="1009" t="s">
        <v>2439</v>
      </c>
      <c r="AB91" s="1012">
        <v>0.15920000000000001</v>
      </c>
    </row>
    <row r="92" spans="1:28">
      <c r="A92" s="1007">
        <v>4764858</v>
      </c>
      <c r="B92" s="1008" t="s">
        <v>2363</v>
      </c>
      <c r="C92" s="1009" t="s">
        <v>2437</v>
      </c>
      <c r="D92" s="1010" t="s">
        <v>2508</v>
      </c>
      <c r="E92" s="1011">
        <v>40815</v>
      </c>
      <c r="F92" s="1009">
        <v>115027</v>
      </c>
      <c r="G92" s="1009">
        <v>31</v>
      </c>
      <c r="H92" s="1009">
        <v>29</v>
      </c>
      <c r="I92" s="1009">
        <v>179</v>
      </c>
      <c r="J92" s="1009">
        <v>70</v>
      </c>
      <c r="K92" s="1012">
        <v>9181.0300000000007</v>
      </c>
      <c r="L92" s="1004">
        <v>11750</v>
      </c>
      <c r="M92" s="1006">
        <v>1175</v>
      </c>
      <c r="N92" s="1013">
        <v>0.58799999999999997</v>
      </c>
      <c r="O92" s="1013">
        <v>0.34399999999999997</v>
      </c>
      <c r="P92" s="1007">
        <v>0</v>
      </c>
      <c r="Q92" s="1007">
        <v>0</v>
      </c>
      <c r="R92" s="1009" t="s">
        <v>2360</v>
      </c>
      <c r="S92" s="1009" t="s">
        <v>593</v>
      </c>
      <c r="T92" s="1009">
        <v>0.25</v>
      </c>
      <c r="U92" s="1009">
        <v>1</v>
      </c>
      <c r="V92" s="1009"/>
      <c r="W92" s="1012">
        <v>12.5</v>
      </c>
      <c r="X92" s="1010"/>
      <c r="Y92" s="1010"/>
      <c r="Z92" s="1009">
        <v>1</v>
      </c>
      <c r="AA92" s="1009" t="s">
        <v>2439</v>
      </c>
      <c r="AB92" s="1012">
        <v>0.15920000000000001</v>
      </c>
    </row>
    <row r="93" spans="1:28">
      <c r="A93" s="998">
        <v>4764858</v>
      </c>
      <c r="B93" s="999" t="s">
        <v>2363</v>
      </c>
      <c r="C93" s="1000" t="s">
        <v>2437</v>
      </c>
      <c r="D93" s="1001" t="s">
        <v>2509</v>
      </c>
      <c r="E93" s="1002">
        <v>40842</v>
      </c>
      <c r="F93" s="1000">
        <v>116215</v>
      </c>
      <c r="G93" s="1000">
        <v>27</v>
      </c>
      <c r="H93" s="1000">
        <v>164</v>
      </c>
      <c r="I93" s="1000">
        <v>11</v>
      </c>
      <c r="J93" s="1000">
        <v>59</v>
      </c>
      <c r="K93" s="1003">
        <v>9322.86</v>
      </c>
      <c r="L93" s="1004">
        <v>11880</v>
      </c>
      <c r="M93" s="1006">
        <v>1188</v>
      </c>
      <c r="N93" s="1005">
        <v>1.0999999999999999E-2</v>
      </c>
      <c r="O93" s="1005">
        <v>2.1999999999999999E-2</v>
      </c>
      <c r="P93" s="998">
        <v>0</v>
      </c>
      <c r="Q93" s="998">
        <v>0</v>
      </c>
      <c r="R93" s="1000" t="s">
        <v>2360</v>
      </c>
      <c r="S93" s="1000" t="s">
        <v>593</v>
      </c>
      <c r="T93" s="1000">
        <v>0.25</v>
      </c>
      <c r="U93" s="1000">
        <v>1</v>
      </c>
      <c r="V93" s="1000"/>
      <c r="W93" s="1003">
        <v>12.5</v>
      </c>
      <c r="X93" s="1001"/>
      <c r="Y93" s="1001"/>
      <c r="Z93" s="1000">
        <v>1</v>
      </c>
      <c r="AA93" s="1000" t="s">
        <v>2439</v>
      </c>
      <c r="AB93" s="1003">
        <v>0.15920000000000001</v>
      </c>
    </row>
    <row r="94" spans="1:28">
      <c r="A94" s="998">
        <v>4764858</v>
      </c>
      <c r="B94" s="999" t="s">
        <v>2363</v>
      </c>
      <c r="C94" s="1000" t="s">
        <v>2437</v>
      </c>
      <c r="D94" s="1001" t="s">
        <v>2510</v>
      </c>
      <c r="E94" s="1002">
        <v>40876</v>
      </c>
      <c r="F94" s="1000">
        <v>117893</v>
      </c>
      <c r="G94" s="1000">
        <v>34</v>
      </c>
      <c r="H94" s="1000">
        <v>480</v>
      </c>
      <c r="I94" s="1000">
        <v>0</v>
      </c>
      <c r="J94" s="1000">
        <v>51</v>
      </c>
      <c r="K94" s="1003">
        <v>13488.52</v>
      </c>
      <c r="L94" s="1004">
        <v>16780</v>
      </c>
      <c r="M94" s="1006">
        <v>1678</v>
      </c>
      <c r="N94" s="1005">
        <v>0.41199999999999998</v>
      </c>
      <c r="O94" s="1005">
        <v>7.8E-2</v>
      </c>
      <c r="P94" s="998">
        <v>0</v>
      </c>
      <c r="Q94" s="998">
        <v>0</v>
      </c>
      <c r="R94" s="1000" t="s">
        <v>2360</v>
      </c>
      <c r="S94" s="1000" t="s">
        <v>593</v>
      </c>
      <c r="T94" s="1000">
        <v>0.25</v>
      </c>
      <c r="U94" s="1000">
        <v>1</v>
      </c>
      <c r="V94" s="1000"/>
      <c r="W94" s="1003">
        <v>12.5</v>
      </c>
      <c r="X94" s="1001"/>
      <c r="Y94" s="1001"/>
      <c r="Z94" s="1000">
        <v>1</v>
      </c>
      <c r="AA94" s="1000" t="s">
        <v>2439</v>
      </c>
      <c r="AB94" s="1003">
        <v>0.15920000000000001</v>
      </c>
    </row>
    <row r="95" spans="1:28">
      <c r="A95" s="1007">
        <v>4764858</v>
      </c>
      <c r="B95" s="1008" t="s">
        <v>2363</v>
      </c>
      <c r="C95" s="1009" t="s">
        <v>2437</v>
      </c>
      <c r="D95" s="1010" t="s">
        <v>2511</v>
      </c>
      <c r="E95" s="1011">
        <v>40905</v>
      </c>
      <c r="F95" s="1009">
        <v>119462</v>
      </c>
      <c r="G95" s="1009">
        <v>29</v>
      </c>
      <c r="H95" s="1009">
        <v>596</v>
      </c>
      <c r="I95" s="1009">
        <v>0</v>
      </c>
      <c r="J95" s="1009">
        <v>44</v>
      </c>
      <c r="K95" s="1012">
        <v>12278.94</v>
      </c>
      <c r="L95" s="1004">
        <v>15690</v>
      </c>
      <c r="M95" s="1006">
        <v>1569</v>
      </c>
      <c r="N95" s="1013">
        <v>-6.5000000000000002E-2</v>
      </c>
      <c r="O95" s="1013">
        <v>0.16200000000000001</v>
      </c>
      <c r="P95" s="1007">
        <v>0</v>
      </c>
      <c r="Q95" s="1007">
        <v>0</v>
      </c>
      <c r="R95" s="1009" t="s">
        <v>2360</v>
      </c>
      <c r="S95" s="1009" t="s">
        <v>593</v>
      </c>
      <c r="T95" s="1009">
        <v>0.25</v>
      </c>
      <c r="U95" s="1009">
        <v>1</v>
      </c>
      <c r="V95" s="1009"/>
      <c r="W95" s="1012">
        <v>12.5</v>
      </c>
      <c r="X95" s="1010"/>
      <c r="Y95" s="1010"/>
      <c r="Z95" s="1009">
        <v>1</v>
      </c>
      <c r="AA95" s="1009" t="s">
        <v>2439</v>
      </c>
      <c r="AB95" s="1012">
        <v>0.15920000000000001</v>
      </c>
    </row>
    <row r="96" spans="1:28">
      <c r="A96" s="998">
        <v>4764858</v>
      </c>
      <c r="B96" s="999" t="s">
        <v>2363</v>
      </c>
      <c r="C96" s="1000" t="s">
        <v>2437</v>
      </c>
      <c r="D96" s="1001" t="s">
        <v>2512</v>
      </c>
      <c r="E96" s="1002">
        <v>40935</v>
      </c>
      <c r="F96" s="1000">
        <v>120863</v>
      </c>
      <c r="G96" s="1000">
        <v>30</v>
      </c>
      <c r="H96" s="1000">
        <v>721</v>
      </c>
      <c r="I96" s="1000">
        <v>0</v>
      </c>
      <c r="J96" s="1000">
        <v>41</v>
      </c>
      <c r="K96" s="1003">
        <v>10762.37</v>
      </c>
      <c r="L96" s="1004">
        <v>14010</v>
      </c>
      <c r="M96" s="1006">
        <v>1401</v>
      </c>
      <c r="N96" s="1005">
        <v>-0.107</v>
      </c>
      <c r="O96" s="1005">
        <v>-0.112</v>
      </c>
      <c r="P96" s="998">
        <v>0</v>
      </c>
      <c r="Q96" s="998">
        <v>0</v>
      </c>
      <c r="R96" s="1000" t="s">
        <v>2360</v>
      </c>
      <c r="S96" s="1000" t="s">
        <v>593</v>
      </c>
      <c r="T96" s="1000">
        <v>0.25</v>
      </c>
      <c r="U96" s="1000">
        <v>1</v>
      </c>
      <c r="V96" s="1000"/>
      <c r="W96" s="1003">
        <v>12.5</v>
      </c>
      <c r="X96" s="1001"/>
      <c r="Y96" s="1001"/>
      <c r="Z96" s="1000">
        <v>1</v>
      </c>
      <c r="AA96" s="1000" t="s">
        <v>2439</v>
      </c>
      <c r="AB96" s="1003">
        <v>0.15920000000000001</v>
      </c>
    </row>
    <row r="97" spans="1:28">
      <c r="A97" s="998">
        <v>4764858</v>
      </c>
      <c r="B97" s="999" t="s">
        <v>2363</v>
      </c>
      <c r="C97" s="1000" t="s">
        <v>2437</v>
      </c>
      <c r="D97" s="1001" t="s">
        <v>2513</v>
      </c>
      <c r="E97" s="1002">
        <v>40967</v>
      </c>
      <c r="F97" s="1000">
        <v>122208</v>
      </c>
      <c r="G97" s="1000">
        <v>32</v>
      </c>
      <c r="H97" s="1000">
        <v>665</v>
      </c>
      <c r="I97" s="1000">
        <v>0</v>
      </c>
      <c r="J97" s="1000">
        <v>44</v>
      </c>
      <c r="K97" s="1003">
        <v>9722.06</v>
      </c>
      <c r="L97" s="1004">
        <v>13450</v>
      </c>
      <c r="M97" s="1006">
        <v>1345</v>
      </c>
      <c r="N97" s="1005">
        <v>-0.04</v>
      </c>
      <c r="O97" s="1005">
        <v>-3.3000000000000002E-2</v>
      </c>
      <c r="P97" s="998">
        <v>0</v>
      </c>
      <c r="Q97" s="998">
        <v>0</v>
      </c>
      <c r="R97" s="1000" t="s">
        <v>2360</v>
      </c>
      <c r="S97" s="1000" t="s">
        <v>593</v>
      </c>
      <c r="T97" s="1000">
        <v>0.25</v>
      </c>
      <c r="U97" s="1000">
        <v>1</v>
      </c>
      <c r="V97" s="1000"/>
      <c r="W97" s="1003">
        <v>12.5</v>
      </c>
      <c r="X97" s="1001"/>
      <c r="Y97" s="1001"/>
      <c r="Z97" s="1000">
        <v>1</v>
      </c>
      <c r="AA97" s="1000" t="s">
        <v>2439</v>
      </c>
      <c r="AB97" s="1003">
        <v>0.15920000000000001</v>
      </c>
    </row>
    <row r="98" spans="1:28">
      <c r="A98" s="1007">
        <v>4764858</v>
      </c>
      <c r="B98" s="1008" t="s">
        <v>2363</v>
      </c>
      <c r="C98" s="1009" t="s">
        <v>2437</v>
      </c>
      <c r="D98" s="1010" t="s">
        <v>2514</v>
      </c>
      <c r="E98" s="1011">
        <v>40996</v>
      </c>
      <c r="F98" s="1009">
        <v>123424</v>
      </c>
      <c r="G98" s="1009">
        <v>29</v>
      </c>
      <c r="H98" s="1009">
        <v>264</v>
      </c>
      <c r="I98" s="1009">
        <v>19</v>
      </c>
      <c r="J98" s="1009">
        <v>57</v>
      </c>
      <c r="K98" s="1012">
        <v>8918.48</v>
      </c>
      <c r="L98" s="1004">
        <v>12160</v>
      </c>
      <c r="M98" s="1006">
        <v>1216</v>
      </c>
      <c r="N98" s="1013">
        <v>-9.6000000000000002E-2</v>
      </c>
      <c r="O98" s="1013">
        <v>-0.16900000000000001</v>
      </c>
      <c r="P98" s="1007">
        <v>0</v>
      </c>
      <c r="Q98" s="1007">
        <v>0</v>
      </c>
      <c r="R98" s="1009" t="s">
        <v>2360</v>
      </c>
      <c r="S98" s="1009" t="s">
        <v>593</v>
      </c>
      <c r="T98" s="1009">
        <v>0.25</v>
      </c>
      <c r="U98" s="1009">
        <v>1</v>
      </c>
      <c r="V98" s="1009"/>
      <c r="W98" s="1012">
        <v>12.5</v>
      </c>
      <c r="X98" s="1010"/>
      <c r="Y98" s="1010"/>
      <c r="Z98" s="1009">
        <v>1</v>
      </c>
      <c r="AA98" s="1009" t="s">
        <v>2439</v>
      </c>
      <c r="AB98" s="1012">
        <v>0.15920000000000001</v>
      </c>
    </row>
    <row r="99" spans="1:28">
      <c r="A99" s="998">
        <v>4764858</v>
      </c>
      <c r="B99" s="999" t="s">
        <v>2363</v>
      </c>
      <c r="C99" s="1000" t="s">
        <v>2437</v>
      </c>
      <c r="D99" s="1001" t="s">
        <v>2515</v>
      </c>
      <c r="E99" s="1002">
        <v>41026</v>
      </c>
      <c r="F99" s="1000">
        <v>124610</v>
      </c>
      <c r="G99" s="1000">
        <v>30</v>
      </c>
      <c r="H99" s="1000">
        <v>209</v>
      </c>
      <c r="I99" s="1000">
        <v>27</v>
      </c>
      <c r="J99" s="1000">
        <v>59</v>
      </c>
      <c r="K99" s="1003">
        <v>7320.63</v>
      </c>
      <c r="L99" s="1004">
        <v>11860</v>
      </c>
      <c r="M99" s="1006">
        <v>1186</v>
      </c>
      <c r="N99" s="1005">
        <v>-2.5000000000000001E-2</v>
      </c>
      <c r="O99" s="1005">
        <v>1.2E-2</v>
      </c>
      <c r="P99" s="998">
        <v>0</v>
      </c>
      <c r="Q99" s="998">
        <v>0</v>
      </c>
      <c r="R99" s="1000" t="s">
        <v>2360</v>
      </c>
      <c r="S99" s="1000" t="s">
        <v>593</v>
      </c>
      <c r="T99" s="1000">
        <v>0.25</v>
      </c>
      <c r="U99" s="1000">
        <v>1</v>
      </c>
      <c r="V99" s="1000"/>
      <c r="W99" s="1003">
        <v>12.5</v>
      </c>
      <c r="X99" s="1001"/>
      <c r="Y99" s="1001"/>
      <c r="Z99" s="1000">
        <v>1</v>
      </c>
      <c r="AA99" s="1000" t="s">
        <v>2439</v>
      </c>
      <c r="AB99" s="1003">
        <v>0.15920000000000001</v>
      </c>
    </row>
    <row r="100" spans="1:28">
      <c r="A100" s="1007">
        <v>4764858</v>
      </c>
      <c r="B100" s="1008" t="s">
        <v>2363</v>
      </c>
      <c r="C100" s="1009" t="s">
        <v>2437</v>
      </c>
      <c r="D100" s="1010" t="s">
        <v>2516</v>
      </c>
      <c r="E100" s="1011">
        <v>41058</v>
      </c>
      <c r="F100" s="1009">
        <v>125775</v>
      </c>
      <c r="G100" s="1009">
        <v>32</v>
      </c>
      <c r="H100" s="1009">
        <v>52</v>
      </c>
      <c r="I100" s="1009">
        <v>121</v>
      </c>
      <c r="J100" s="1009">
        <v>67</v>
      </c>
      <c r="K100" s="1012">
        <v>6854.55</v>
      </c>
      <c r="L100" s="1004">
        <v>11650</v>
      </c>
      <c r="M100" s="1006">
        <v>1165</v>
      </c>
      <c r="N100" s="1013">
        <v>-1.7999999999999999E-2</v>
      </c>
      <c r="O100" s="1013">
        <v>0.184</v>
      </c>
      <c r="P100" s="1007">
        <v>0</v>
      </c>
      <c r="Q100" s="1007">
        <v>0</v>
      </c>
      <c r="R100" s="1009" t="s">
        <v>2360</v>
      </c>
      <c r="S100" s="1009" t="s">
        <v>593</v>
      </c>
      <c r="T100" s="1009">
        <v>0.25</v>
      </c>
      <c r="U100" s="1009">
        <v>1</v>
      </c>
      <c r="V100" s="1009"/>
      <c r="W100" s="1012">
        <v>12.5</v>
      </c>
      <c r="X100" s="1010"/>
      <c r="Y100" s="1010"/>
      <c r="Z100" s="1009">
        <v>1</v>
      </c>
      <c r="AA100" s="1009" t="s">
        <v>2439</v>
      </c>
      <c r="AB100" s="1012">
        <v>0.15920000000000001</v>
      </c>
    </row>
    <row r="101" spans="1:28">
      <c r="A101" s="998">
        <v>4764858</v>
      </c>
      <c r="B101" s="999" t="s">
        <v>2363</v>
      </c>
      <c r="C101" s="1000" t="s">
        <v>2437</v>
      </c>
      <c r="D101" s="1001" t="s">
        <v>2517</v>
      </c>
      <c r="E101" s="1002">
        <v>41085</v>
      </c>
      <c r="F101" s="1000">
        <v>126505</v>
      </c>
      <c r="G101" s="1000">
        <v>27</v>
      </c>
      <c r="H101" s="1000">
        <v>6</v>
      </c>
      <c r="I101" s="1000">
        <v>196</v>
      </c>
      <c r="J101" s="1000">
        <v>72</v>
      </c>
      <c r="K101" s="1003">
        <v>4872.84</v>
      </c>
      <c r="L101" s="1004">
        <f>M101*10</f>
        <v>7300</v>
      </c>
      <c r="M101" s="940">
        <v>730</v>
      </c>
      <c r="N101" s="1005">
        <v>-0.373</v>
      </c>
      <c r="O101" s="1005">
        <v>6.7000000000000004E-2</v>
      </c>
      <c r="P101" s="998">
        <v>0</v>
      </c>
      <c r="Q101" s="998">
        <v>0</v>
      </c>
      <c r="R101" s="1000" t="s">
        <v>2360</v>
      </c>
      <c r="S101" s="1000" t="s">
        <v>593</v>
      </c>
      <c r="T101" s="1000">
        <v>0.25</v>
      </c>
      <c r="U101" s="1000">
        <v>1</v>
      </c>
      <c r="V101" s="1000"/>
      <c r="W101" s="1003">
        <v>12.5</v>
      </c>
      <c r="X101" s="1001"/>
      <c r="Y101" s="1001"/>
      <c r="Z101" s="1000">
        <v>1</v>
      </c>
      <c r="AA101" s="1000" t="s">
        <v>2439</v>
      </c>
      <c r="AB101" s="1003">
        <v>0.15920000000000001</v>
      </c>
    </row>
    <row r="102" spans="1:28">
      <c r="A102" s="1007">
        <v>4764858</v>
      </c>
      <c r="B102" s="1008" t="s">
        <v>2363</v>
      </c>
      <c r="C102" s="1009" t="s">
        <v>2365</v>
      </c>
      <c r="D102" s="1010" t="s">
        <v>2518</v>
      </c>
      <c r="E102" s="1011">
        <v>41121</v>
      </c>
      <c r="F102" s="1009">
        <v>878</v>
      </c>
      <c r="G102" s="1009">
        <v>30</v>
      </c>
      <c r="H102" s="1009">
        <v>0</v>
      </c>
      <c r="I102" s="1009">
        <v>487</v>
      </c>
      <c r="J102" s="1009">
        <v>81</v>
      </c>
      <c r="K102" s="1012">
        <v>1233.49</v>
      </c>
      <c r="L102" s="1004">
        <f t="shared" ref="L102:L110" si="0">M102*10</f>
        <v>8780</v>
      </c>
      <c r="M102" s="940">
        <v>878</v>
      </c>
      <c r="N102" s="1013">
        <v>0.08</v>
      </c>
      <c r="O102" s="1013">
        <v>0.186</v>
      </c>
      <c r="P102" s="1007">
        <v>0</v>
      </c>
      <c r="Q102" s="1007">
        <v>0</v>
      </c>
      <c r="R102" s="1009" t="s">
        <v>2360</v>
      </c>
      <c r="S102" s="1009" t="s">
        <v>593</v>
      </c>
      <c r="T102" s="1009">
        <v>0.25</v>
      </c>
      <c r="U102" s="1009">
        <v>1</v>
      </c>
      <c r="V102" s="1009"/>
      <c r="W102" s="1012">
        <v>186.5</v>
      </c>
      <c r="X102" s="1010"/>
      <c r="Y102" s="1010"/>
      <c r="Z102" s="1009">
        <v>1</v>
      </c>
      <c r="AA102" s="1009" t="s">
        <v>2439</v>
      </c>
      <c r="AB102" s="1012">
        <v>0.1072</v>
      </c>
    </row>
    <row r="103" spans="1:28">
      <c r="A103" s="998">
        <v>4764858</v>
      </c>
      <c r="B103" s="999" t="s">
        <v>2363</v>
      </c>
      <c r="C103" s="1000" t="s">
        <v>2365</v>
      </c>
      <c r="D103" s="1001" t="s">
        <v>2519</v>
      </c>
      <c r="E103" s="1002">
        <v>41152</v>
      </c>
      <c r="F103" s="1000">
        <v>1039</v>
      </c>
      <c r="G103" s="1000">
        <v>30</v>
      </c>
      <c r="H103" s="1000">
        <v>0</v>
      </c>
      <c r="I103" s="1000">
        <v>307</v>
      </c>
      <c r="J103" s="1000">
        <v>75</v>
      </c>
      <c r="K103" s="1003">
        <v>1420.9</v>
      </c>
      <c r="L103" s="1004">
        <f t="shared" si="0"/>
        <v>10390</v>
      </c>
      <c r="M103" s="1006">
        <v>1039</v>
      </c>
      <c r="N103" s="1005">
        <v>0.183</v>
      </c>
      <c r="O103" s="1005">
        <v>-0.11600000000000001</v>
      </c>
      <c r="P103" s="998">
        <v>0</v>
      </c>
      <c r="Q103" s="998">
        <v>0</v>
      </c>
      <c r="R103" s="1000" t="s">
        <v>2360</v>
      </c>
      <c r="S103" s="1000" t="s">
        <v>593</v>
      </c>
      <c r="T103" s="1000">
        <v>0.25</v>
      </c>
      <c r="U103" s="1000">
        <v>1</v>
      </c>
      <c r="V103" s="1000"/>
      <c r="W103" s="1003">
        <v>186.5</v>
      </c>
      <c r="X103" s="1001"/>
      <c r="Y103" s="1001"/>
      <c r="Z103" s="1000">
        <v>1</v>
      </c>
      <c r="AA103" s="1000" t="s">
        <v>2439</v>
      </c>
      <c r="AB103" s="1003">
        <v>0.1072</v>
      </c>
    </row>
    <row r="104" spans="1:28">
      <c r="A104" s="1007">
        <v>4764858</v>
      </c>
      <c r="B104" s="1008" t="s">
        <v>2363</v>
      </c>
      <c r="C104" s="1009" t="s">
        <v>2365</v>
      </c>
      <c r="D104" s="1010" t="s">
        <v>2520</v>
      </c>
      <c r="E104" s="1011">
        <v>41182</v>
      </c>
      <c r="F104" s="1009">
        <v>963</v>
      </c>
      <c r="G104" s="1009">
        <v>30</v>
      </c>
      <c r="H104" s="1009">
        <v>29</v>
      </c>
      <c r="I104" s="1009">
        <v>157</v>
      </c>
      <c r="J104" s="1009">
        <v>69</v>
      </c>
      <c r="K104" s="1012">
        <v>1332.43</v>
      </c>
      <c r="L104" s="1004">
        <f t="shared" si="0"/>
        <v>9630</v>
      </c>
      <c r="M104" s="940">
        <v>963</v>
      </c>
      <c r="N104" s="1013">
        <v>-7.2999999999999995E-2</v>
      </c>
      <c r="O104" s="1013">
        <v>-0.189</v>
      </c>
      <c r="P104" s="1007">
        <v>0</v>
      </c>
      <c r="Q104" s="1007">
        <v>0</v>
      </c>
      <c r="R104" s="1009" t="s">
        <v>2360</v>
      </c>
      <c r="S104" s="1009" t="s">
        <v>593</v>
      </c>
      <c r="T104" s="1009">
        <v>0.25</v>
      </c>
      <c r="U104" s="1009">
        <v>1</v>
      </c>
      <c r="V104" s="1009"/>
      <c r="W104" s="1012">
        <v>186.5</v>
      </c>
      <c r="X104" s="1010"/>
      <c r="Y104" s="1010"/>
      <c r="Z104" s="1009">
        <v>1</v>
      </c>
      <c r="AA104" s="1009" t="s">
        <v>2439</v>
      </c>
      <c r="AB104" s="1012">
        <v>0.1072</v>
      </c>
    </row>
    <row r="105" spans="1:28">
      <c r="A105" s="1007">
        <v>4764858</v>
      </c>
      <c r="B105" s="1008" t="s">
        <v>2363</v>
      </c>
      <c r="C105" s="1009" t="s">
        <v>2365</v>
      </c>
      <c r="D105" s="1010" t="s">
        <v>2521</v>
      </c>
      <c r="E105" s="1011">
        <v>41213</v>
      </c>
      <c r="F105" s="1009">
        <v>1370</v>
      </c>
      <c r="G105" s="1009">
        <v>30</v>
      </c>
      <c r="H105" s="1009">
        <v>236</v>
      </c>
      <c r="I105" s="1009">
        <v>18</v>
      </c>
      <c r="J105" s="1009">
        <v>58</v>
      </c>
      <c r="K105" s="1012">
        <v>1806.18</v>
      </c>
      <c r="L105" s="1004">
        <f t="shared" si="0"/>
        <v>13700</v>
      </c>
      <c r="M105" s="1006">
        <v>1370</v>
      </c>
      <c r="N105" s="1013">
        <v>0.42299999999999999</v>
      </c>
      <c r="O105" s="1013">
        <v>-0.184</v>
      </c>
      <c r="P105" s="1007">
        <v>0</v>
      </c>
      <c r="Q105" s="1007">
        <v>0</v>
      </c>
      <c r="R105" s="1009" t="s">
        <v>2360</v>
      </c>
      <c r="S105" s="1009" t="s">
        <v>593</v>
      </c>
      <c r="T105" s="1009">
        <v>0.25</v>
      </c>
      <c r="U105" s="1009">
        <v>1</v>
      </c>
      <c r="V105" s="1009"/>
      <c r="W105" s="1012">
        <v>186.5</v>
      </c>
      <c r="X105" s="1010"/>
      <c r="Y105" s="1010"/>
      <c r="Z105" s="1009">
        <v>1</v>
      </c>
      <c r="AA105" s="1009" t="s">
        <v>2439</v>
      </c>
      <c r="AB105" s="1012">
        <v>0.1072</v>
      </c>
    </row>
    <row r="106" spans="1:28">
      <c r="A106" s="1007">
        <v>4764858</v>
      </c>
      <c r="B106" s="1008" t="s">
        <v>2363</v>
      </c>
      <c r="C106" s="1009" t="s">
        <v>2365</v>
      </c>
      <c r="D106" s="1010" t="s">
        <v>2522</v>
      </c>
      <c r="E106" s="1011">
        <v>41243</v>
      </c>
      <c r="F106" s="1009">
        <v>1997</v>
      </c>
      <c r="G106" s="1009">
        <v>30</v>
      </c>
      <c r="H106" s="1009">
        <v>597</v>
      </c>
      <c r="I106" s="1009">
        <v>0</v>
      </c>
      <c r="J106" s="1009">
        <v>45</v>
      </c>
      <c r="K106" s="1012">
        <v>2536.0100000000002</v>
      </c>
      <c r="L106" s="1004">
        <f t="shared" si="0"/>
        <v>19970</v>
      </c>
      <c r="M106" s="1006">
        <v>1997</v>
      </c>
      <c r="N106" s="1013">
        <v>0.45800000000000002</v>
      </c>
      <c r="O106" s="1013">
        <v>0.27300000000000002</v>
      </c>
      <c r="P106" s="1007">
        <v>0</v>
      </c>
      <c r="Q106" s="1007">
        <v>0</v>
      </c>
      <c r="R106" s="1009" t="s">
        <v>2360</v>
      </c>
      <c r="S106" s="1009" t="s">
        <v>593</v>
      </c>
      <c r="T106" s="1009">
        <v>0.25</v>
      </c>
      <c r="U106" s="1009">
        <v>1</v>
      </c>
      <c r="V106" s="1009"/>
      <c r="W106" s="1012">
        <v>186.5</v>
      </c>
      <c r="X106" s="1010"/>
      <c r="Y106" s="1010"/>
      <c r="Z106" s="1009">
        <v>1</v>
      </c>
      <c r="AA106" s="1009" t="s">
        <v>2439</v>
      </c>
      <c r="AB106" s="1012">
        <v>0.1072</v>
      </c>
    </row>
    <row r="107" spans="1:28">
      <c r="A107" s="1007">
        <v>4764858</v>
      </c>
      <c r="B107" s="1008" t="s">
        <v>2363</v>
      </c>
      <c r="C107" s="1009" t="s">
        <v>2365</v>
      </c>
      <c r="D107" s="1010" t="s">
        <v>2523</v>
      </c>
      <c r="E107" s="1011">
        <v>41274</v>
      </c>
      <c r="F107" s="1009">
        <v>1929</v>
      </c>
      <c r="G107" s="1009">
        <v>30</v>
      </c>
      <c r="H107" s="1009">
        <v>596</v>
      </c>
      <c r="I107" s="1009">
        <v>0</v>
      </c>
      <c r="J107" s="1009">
        <v>45</v>
      </c>
      <c r="K107" s="1012">
        <v>2456.86</v>
      </c>
      <c r="L107" s="1004">
        <f t="shared" si="0"/>
        <v>19290</v>
      </c>
      <c r="M107" s="1006">
        <v>1929</v>
      </c>
      <c r="N107" s="1013">
        <v>-3.4000000000000002E-2</v>
      </c>
      <c r="O107" s="1013">
        <v>0.377</v>
      </c>
      <c r="P107" s="1007">
        <v>0</v>
      </c>
      <c r="Q107" s="1007">
        <v>0</v>
      </c>
      <c r="R107" s="1009" t="s">
        <v>2360</v>
      </c>
      <c r="S107" s="1009" t="s">
        <v>593</v>
      </c>
      <c r="T107" s="1009">
        <v>0.25</v>
      </c>
      <c r="U107" s="1009">
        <v>1</v>
      </c>
      <c r="V107" s="1009"/>
      <c r="W107" s="1012">
        <v>186.5</v>
      </c>
      <c r="X107" s="1010"/>
      <c r="Y107" s="1010"/>
      <c r="Z107" s="1009">
        <v>1</v>
      </c>
      <c r="AA107" s="1009" t="s">
        <v>2439</v>
      </c>
      <c r="AB107" s="1012">
        <v>0.1072</v>
      </c>
    </row>
    <row r="108" spans="1:28">
      <c r="A108" s="1007">
        <v>4764858</v>
      </c>
      <c r="B108" s="1008" t="s">
        <v>2363</v>
      </c>
      <c r="C108" s="1009" t="s">
        <v>2365</v>
      </c>
      <c r="D108" s="1010" t="s">
        <v>2524</v>
      </c>
      <c r="E108" s="1011">
        <v>41305</v>
      </c>
      <c r="F108" s="1009">
        <v>1563</v>
      </c>
      <c r="G108" s="1009">
        <v>30</v>
      </c>
      <c r="H108" s="1009">
        <v>694</v>
      </c>
      <c r="I108" s="1009">
        <v>0</v>
      </c>
      <c r="J108" s="1009">
        <v>42</v>
      </c>
      <c r="K108" s="1012">
        <v>2030.83</v>
      </c>
      <c r="L108" s="1004">
        <f t="shared" si="0"/>
        <v>15630</v>
      </c>
      <c r="M108" s="1006">
        <v>1563</v>
      </c>
      <c r="N108" s="1013">
        <v>-0.19</v>
      </c>
      <c r="O108" s="1013">
        <v>0.16200000000000001</v>
      </c>
      <c r="P108" s="1007">
        <v>0</v>
      </c>
      <c r="Q108" s="1007">
        <v>0</v>
      </c>
      <c r="R108" s="1009" t="s">
        <v>2360</v>
      </c>
      <c r="S108" s="1009" t="s">
        <v>593</v>
      </c>
      <c r="T108" s="1009">
        <v>0.25</v>
      </c>
      <c r="U108" s="1009">
        <v>1</v>
      </c>
      <c r="V108" s="1009"/>
      <c r="W108" s="1012">
        <v>186.5</v>
      </c>
      <c r="X108" s="1010"/>
      <c r="Y108" s="1010"/>
      <c r="Z108" s="1009">
        <v>1</v>
      </c>
      <c r="AA108" s="1009" t="s">
        <v>2439</v>
      </c>
      <c r="AB108" s="1012">
        <v>0.1072</v>
      </c>
    </row>
    <row r="109" spans="1:28">
      <c r="A109" s="1007">
        <v>4764858</v>
      </c>
      <c r="B109" s="1008" t="s">
        <v>2363</v>
      </c>
      <c r="C109" s="1009" t="s">
        <v>2365</v>
      </c>
      <c r="D109" s="1010" t="s">
        <v>2525</v>
      </c>
      <c r="E109" s="1011">
        <v>41333</v>
      </c>
      <c r="F109" s="1009">
        <v>1421</v>
      </c>
      <c r="G109" s="1009">
        <v>30</v>
      </c>
      <c r="H109" s="1009">
        <v>716</v>
      </c>
      <c r="I109" s="1009">
        <v>0</v>
      </c>
      <c r="J109" s="1009">
        <v>41</v>
      </c>
      <c r="K109" s="1012">
        <v>1865.54</v>
      </c>
      <c r="L109" s="1004">
        <f t="shared" si="0"/>
        <v>14210</v>
      </c>
      <c r="M109" s="1006">
        <v>1421</v>
      </c>
      <c r="N109" s="1013">
        <v>-9.0999999999999998E-2</v>
      </c>
      <c r="O109" s="1013">
        <v>0.16900000000000001</v>
      </c>
      <c r="P109" s="1007">
        <v>0</v>
      </c>
      <c r="Q109" s="1007">
        <v>0</v>
      </c>
      <c r="R109" s="1009" t="s">
        <v>2360</v>
      </c>
      <c r="S109" s="1009" t="s">
        <v>593</v>
      </c>
      <c r="T109" s="1009">
        <v>0.25</v>
      </c>
      <c r="U109" s="1009">
        <v>1</v>
      </c>
      <c r="V109" s="1009"/>
      <c r="W109" s="1012">
        <v>186.5</v>
      </c>
      <c r="X109" s="1010"/>
      <c r="Y109" s="1010"/>
      <c r="Z109" s="1009">
        <v>1</v>
      </c>
      <c r="AA109" s="1009" t="s">
        <v>2439</v>
      </c>
      <c r="AB109" s="1012">
        <v>0.1072</v>
      </c>
    </row>
    <row r="110" spans="1:28">
      <c r="A110" s="1007">
        <v>4764858</v>
      </c>
      <c r="B110" s="1008" t="s">
        <v>2363</v>
      </c>
      <c r="C110" s="1009" t="s">
        <v>2365</v>
      </c>
      <c r="D110" s="1010" t="s">
        <v>2526</v>
      </c>
      <c r="E110" s="1011">
        <v>41364</v>
      </c>
      <c r="F110" s="1009">
        <v>1554</v>
      </c>
      <c r="G110" s="1009">
        <v>30</v>
      </c>
      <c r="H110" s="1009">
        <v>687</v>
      </c>
      <c r="I110" s="1009">
        <v>0</v>
      </c>
      <c r="J110" s="1009">
        <v>42</v>
      </c>
      <c r="K110" s="1012">
        <v>2020.36</v>
      </c>
      <c r="L110" s="1004">
        <f t="shared" si="0"/>
        <v>15540</v>
      </c>
      <c r="M110" s="1006">
        <v>1554</v>
      </c>
      <c r="N110" s="1013">
        <v>9.4E-2</v>
      </c>
      <c r="O110" s="1013">
        <v>0.31</v>
      </c>
      <c r="P110" s="1007">
        <v>0</v>
      </c>
      <c r="Q110" s="1007">
        <v>0</v>
      </c>
      <c r="R110" s="1009" t="s">
        <v>2360</v>
      </c>
      <c r="S110" s="1009" t="s">
        <v>593</v>
      </c>
      <c r="T110" s="1009">
        <v>0.25</v>
      </c>
      <c r="U110" s="1009">
        <v>1</v>
      </c>
      <c r="V110" s="1009"/>
      <c r="W110" s="1012">
        <v>186.5</v>
      </c>
      <c r="X110" s="1010"/>
      <c r="Y110" s="1010"/>
      <c r="Z110" s="1009">
        <v>1</v>
      </c>
      <c r="AA110" s="1009" t="s">
        <v>2439</v>
      </c>
      <c r="AB110" s="1012">
        <v>0.1072</v>
      </c>
    </row>
  </sheetData>
  <mergeCells count="14">
    <mergeCell ref="R18:R20"/>
    <mergeCell ref="U18:U20"/>
    <mergeCell ref="A18:A20"/>
    <mergeCell ref="B18:B20"/>
    <mergeCell ref="D18:D20"/>
    <mergeCell ref="E18:E20"/>
    <mergeCell ref="F18:F20"/>
    <mergeCell ref="G18:G20"/>
    <mergeCell ref="J13:J14"/>
    <mergeCell ref="A13:A14"/>
    <mergeCell ref="F13:F14"/>
    <mergeCell ref="G13:G14"/>
    <mergeCell ref="H13:H14"/>
    <mergeCell ref="I13:I14"/>
  </mergeCells>
  <hyperlinks>
    <hyperlink ref="G12" r:id="rId1" display="http://dfw1whpi.atmosenergy.com:7777/pls/blueprint/blueprint.show_customer?BU=50&amp;Customer=4764858"/>
    <hyperlink ref="C13" r:id="rId2" display="http://dfw1whpi.atmosenergy.com:7777/pls/blueprint/blueprint.html_servicetype50"/>
    <hyperlink ref="C14" r:id="rId3" display="http://dfw1whpi.atmosenergy.com:7777/pls/blueprint/blueprint.html_servicetype50"/>
    <hyperlink ref="D13" r:id="rId4" display="http://dfw1whpi.atmosenergy.com:7777/pls/blueprint/blueprint.html_class"/>
    <hyperlink ref="D14" r:id="rId5" display="http://dfw1whpi.atmosenergy.com:7777/pls/blueprint/blueprint.html_class"/>
  </hyperlink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Y60"/>
  <sheetViews>
    <sheetView topLeftCell="A25" workbookViewId="0"/>
  </sheetViews>
  <sheetFormatPr defaultRowHeight="15"/>
  <cols>
    <col min="1" max="1" width="28.42578125" customWidth="1"/>
    <col min="2" max="3" width="9" bestFit="1" customWidth="1"/>
    <col min="4" max="4" width="12.42578125" customWidth="1"/>
    <col min="8" max="8" width="38.85546875" bestFit="1" customWidth="1"/>
    <col min="9" max="11" width="11.5703125" bestFit="1" customWidth="1"/>
    <col min="12" max="12" width="11.7109375" bestFit="1" customWidth="1"/>
    <col min="13" max="13" width="11.28515625" customWidth="1"/>
    <col min="14" max="14" width="11.7109375" bestFit="1" customWidth="1"/>
    <col min="15" max="15" width="11.5703125" bestFit="1" customWidth="1"/>
    <col min="16" max="16" width="11.7109375" bestFit="1" customWidth="1"/>
    <col min="17" max="17" width="11.42578125" bestFit="1" customWidth="1"/>
    <col min="18" max="18" width="10.7109375" bestFit="1" customWidth="1"/>
    <col min="20" max="20" width="12" bestFit="1" customWidth="1"/>
  </cols>
  <sheetData>
    <row r="1" spans="1:25" s="697" customFormat="1">
      <c r="A1" s="518" t="s">
        <v>2250</v>
      </c>
      <c r="B1" s="883"/>
      <c r="C1" s="707"/>
      <c r="D1" s="707"/>
    </row>
    <row r="2" spans="1:25" s="697" customFormat="1">
      <c r="A2" s="751"/>
      <c r="B2" s="707"/>
      <c r="C2" s="707"/>
      <c r="D2" s="707"/>
    </row>
    <row r="3" spans="1:25" s="697" customFormat="1">
      <c r="A3" s="751" t="s">
        <v>2154</v>
      </c>
      <c r="B3" s="707"/>
      <c r="C3" s="707"/>
      <c r="D3" s="707"/>
    </row>
    <row r="4" spans="1:25" s="697" customFormat="1"/>
    <row r="5" spans="1:25">
      <c r="A5" s="732" t="s">
        <v>2097</v>
      </c>
      <c r="B5" s="697"/>
      <c r="C5" s="697"/>
      <c r="D5" s="697"/>
      <c r="E5" s="703"/>
      <c r="F5" s="703"/>
      <c r="G5" s="697"/>
      <c r="H5" s="697"/>
      <c r="I5" s="697"/>
      <c r="J5" s="697"/>
      <c r="K5" s="697"/>
      <c r="L5" s="697"/>
      <c r="M5" s="697"/>
      <c r="N5" s="697"/>
      <c r="O5" s="697"/>
      <c r="P5" s="697"/>
      <c r="Q5" s="697"/>
      <c r="R5" s="697"/>
      <c r="S5" s="697"/>
      <c r="T5" s="697"/>
      <c r="U5" s="697"/>
      <c r="V5" s="697"/>
      <c r="W5" s="697"/>
      <c r="X5" s="697"/>
      <c r="Y5" s="697"/>
    </row>
    <row r="6" spans="1:25">
      <c r="A6" s="732" t="s">
        <v>2098</v>
      </c>
      <c r="B6" s="697"/>
      <c r="C6" s="697"/>
      <c r="D6" s="697"/>
      <c r="E6" s="703"/>
      <c r="F6" s="703"/>
      <c r="G6" s="697"/>
      <c r="H6" s="697"/>
      <c r="I6" s="697"/>
      <c r="J6" s="697"/>
      <c r="K6" s="697"/>
      <c r="L6" s="697"/>
      <c r="M6" s="697"/>
      <c r="N6" s="697"/>
      <c r="O6" s="697"/>
      <c r="P6" s="697"/>
      <c r="Q6" s="697"/>
      <c r="R6" s="697"/>
      <c r="S6" s="697"/>
      <c r="T6" s="697"/>
      <c r="U6" s="697"/>
      <c r="V6" s="697"/>
      <c r="W6" s="697"/>
      <c r="X6" s="697"/>
      <c r="Y6" s="697"/>
    </row>
    <row r="7" spans="1:25">
      <c r="A7" s="732" t="s">
        <v>2099</v>
      </c>
      <c r="B7" s="697"/>
      <c r="C7" s="697"/>
      <c r="D7" s="697"/>
      <c r="E7" s="703"/>
      <c r="F7" s="703"/>
      <c r="G7" s="697"/>
      <c r="H7" s="697"/>
      <c r="I7" s="697"/>
      <c r="J7" s="697"/>
      <c r="K7" s="697"/>
      <c r="L7" s="697"/>
      <c r="M7" s="697"/>
      <c r="N7" s="697"/>
      <c r="O7" s="697"/>
      <c r="P7" s="697"/>
      <c r="Q7" s="697"/>
      <c r="R7" s="697"/>
      <c r="S7" s="697"/>
      <c r="T7" s="697"/>
      <c r="U7" s="697"/>
      <c r="V7" s="697"/>
      <c r="W7" s="697"/>
      <c r="X7" s="697"/>
      <c r="Y7" s="697"/>
    </row>
    <row r="8" spans="1:25">
      <c r="A8" s="697"/>
      <c r="B8" s="697"/>
      <c r="C8" s="697"/>
      <c r="D8" s="697"/>
      <c r="E8" s="703"/>
      <c r="F8" s="703"/>
      <c r="G8" s="697"/>
      <c r="H8" s="697"/>
      <c r="I8" s="697"/>
      <c r="J8" s="697"/>
      <c r="K8" s="697"/>
      <c r="L8" s="697"/>
      <c r="M8" s="697"/>
      <c r="N8" s="697"/>
      <c r="O8" s="697"/>
      <c r="P8" s="697"/>
      <c r="Q8" s="697"/>
      <c r="R8" s="697"/>
      <c r="S8" s="697"/>
      <c r="T8" s="697"/>
      <c r="U8" s="697"/>
      <c r="V8" s="697"/>
      <c r="W8" s="697"/>
      <c r="X8" s="697"/>
      <c r="Y8" s="697"/>
    </row>
    <row r="9" spans="1:25">
      <c r="A9" s="780" t="s">
        <v>2100</v>
      </c>
      <c r="B9" s="781"/>
      <c r="C9" s="707"/>
      <c r="D9" s="707"/>
      <c r="E9" s="782"/>
      <c r="F9" s="781"/>
      <c r="G9" s="707"/>
      <c r="H9" s="707"/>
      <c r="I9" s="782"/>
      <c r="J9" s="781"/>
      <c r="K9" s="707"/>
      <c r="L9" s="707"/>
      <c r="M9" s="707"/>
      <c r="N9" s="707"/>
      <c r="O9" s="707"/>
      <c r="P9" s="707"/>
      <c r="Q9" s="707"/>
      <c r="R9" s="785"/>
      <c r="S9" s="707"/>
      <c r="T9" s="707"/>
      <c r="U9" s="707"/>
      <c r="V9" s="697"/>
      <c r="W9" s="697"/>
      <c r="X9" s="697"/>
      <c r="Y9" s="697"/>
    </row>
    <row r="10" spans="1:25" ht="60.75" thickBot="1">
      <c r="A10" s="733" t="s">
        <v>2101</v>
      </c>
      <c r="B10" s="754" t="s">
        <v>2102</v>
      </c>
      <c r="C10" s="717" t="s">
        <v>2103</v>
      </c>
      <c r="D10" s="716" t="s">
        <v>2104</v>
      </c>
      <c r="E10" s="716" t="s">
        <v>2105</v>
      </c>
      <c r="F10" s="754" t="s">
        <v>2106</v>
      </c>
      <c r="G10" s="717" t="s">
        <v>2107</v>
      </c>
      <c r="H10" s="716" t="s">
        <v>2108</v>
      </c>
      <c r="I10" s="716" t="s">
        <v>2109</v>
      </c>
      <c r="J10" s="754" t="s">
        <v>2110</v>
      </c>
      <c r="K10" s="717" t="s">
        <v>2111</v>
      </c>
      <c r="L10" s="716" t="s">
        <v>2112</v>
      </c>
      <c r="M10" s="716" t="s">
        <v>2113</v>
      </c>
      <c r="N10" s="754" t="s">
        <v>2114</v>
      </c>
      <c r="O10" s="717" t="s">
        <v>2115</v>
      </c>
      <c r="P10" s="716" t="s">
        <v>2116</v>
      </c>
      <c r="Q10" s="716" t="s">
        <v>2117</v>
      </c>
      <c r="R10" s="754" t="s">
        <v>2118</v>
      </c>
      <c r="S10" s="783" t="s">
        <v>2119</v>
      </c>
      <c r="T10" s="716" t="s">
        <v>2120</v>
      </c>
      <c r="U10" s="743" t="s">
        <v>2121</v>
      </c>
      <c r="V10" s="697"/>
      <c r="W10" s="697"/>
      <c r="X10" s="697"/>
      <c r="Y10" s="697"/>
    </row>
    <row r="11" spans="1:25" ht="15.75" thickTop="1">
      <c r="A11" s="699" t="s">
        <v>2122</v>
      </c>
      <c r="B11" s="755">
        <v>179258</v>
      </c>
      <c r="C11" s="741">
        <v>162620.31551922782</v>
      </c>
      <c r="D11" s="712">
        <v>157074.96276002214</v>
      </c>
      <c r="E11" s="712">
        <v>5545.352759205668</v>
      </c>
      <c r="F11" s="755">
        <v>190137</v>
      </c>
      <c r="G11" s="741">
        <v>172489.59004272847</v>
      </c>
      <c r="H11" s="712">
        <v>166607.69502227142</v>
      </c>
      <c r="I11" s="712">
        <v>5881.8950204570401</v>
      </c>
      <c r="J11" s="755">
        <v>201562.66928164562</v>
      </c>
      <c r="K11" s="741">
        <v>182854.79518615056</v>
      </c>
      <c r="L11" s="712">
        <v>176619.44667030283</v>
      </c>
      <c r="M11" s="712">
        <v>6235.3485158477333</v>
      </c>
      <c r="N11" s="709">
        <v>203399.05575000003</v>
      </c>
      <c r="O11" s="741">
        <v>184520.7389482088</v>
      </c>
      <c r="P11" s="712">
        <v>178228.5817500749</v>
      </c>
      <c r="Q11" s="712">
        <v>6292.1571981339202</v>
      </c>
      <c r="R11" s="755">
        <v>198140.2979500035</v>
      </c>
      <c r="S11" s="741">
        <v>179750.06844717322</v>
      </c>
      <c r="T11" s="712">
        <v>173620.59111312462</v>
      </c>
      <c r="U11" s="744">
        <v>6129.4773340486063</v>
      </c>
      <c r="V11" s="697"/>
      <c r="W11" s="697"/>
      <c r="X11" s="697"/>
      <c r="Y11" s="697"/>
    </row>
    <row r="12" spans="1:25">
      <c r="A12" s="699" t="s">
        <v>2123</v>
      </c>
      <c r="B12" s="755">
        <v>61585</v>
      </c>
      <c r="C12" s="741">
        <v>55869.038655187745</v>
      </c>
      <c r="D12" s="712">
        <v>55869.038655187745</v>
      </c>
      <c r="E12" s="712"/>
      <c r="F12" s="755">
        <v>65825</v>
      </c>
      <c r="G12" s="741">
        <v>59715.506527201971</v>
      </c>
      <c r="H12" s="712">
        <v>59715.506527201971</v>
      </c>
      <c r="I12" s="712"/>
      <c r="J12" s="755">
        <v>69780.540901898741</v>
      </c>
      <c r="K12" s="741">
        <v>63303.91713936982</v>
      </c>
      <c r="L12" s="712">
        <v>63303.91713936982</v>
      </c>
      <c r="M12" s="712"/>
      <c r="N12" s="709">
        <v>70416.293750000012</v>
      </c>
      <c r="O12" s="741">
        <v>63880.66310747432</v>
      </c>
      <c r="P12" s="712">
        <v>63880.66310747432</v>
      </c>
      <c r="Q12" s="712"/>
      <c r="R12" s="755">
        <v>89546.673825000005</v>
      </c>
      <c r="S12" s="741">
        <v>81235.472621131994</v>
      </c>
      <c r="T12" s="712">
        <v>81235.472621131994</v>
      </c>
      <c r="U12" s="744"/>
      <c r="V12" s="697"/>
      <c r="W12" s="697"/>
      <c r="X12" s="697"/>
      <c r="Y12" s="697"/>
    </row>
    <row r="13" spans="1:25">
      <c r="A13" s="699" t="s">
        <v>2124</v>
      </c>
      <c r="B13" s="755">
        <v>3545</v>
      </c>
      <c r="C13" s="741">
        <v>3215.9737278986859</v>
      </c>
      <c r="D13" s="712">
        <v>3215.9737278986859</v>
      </c>
      <c r="E13" s="712"/>
      <c r="F13" s="755">
        <v>855</v>
      </c>
      <c r="G13" s="741">
        <v>775.64387513494398</v>
      </c>
      <c r="H13" s="712">
        <v>775.64387513494398</v>
      </c>
      <c r="I13" s="712"/>
      <c r="J13" s="755">
        <v>906.37846518987362</v>
      </c>
      <c r="K13" s="741">
        <v>822.2536901505689</v>
      </c>
      <c r="L13" s="712">
        <v>822.2536901505689</v>
      </c>
      <c r="M13" s="712"/>
      <c r="N13" s="709">
        <v>914.63625000000013</v>
      </c>
      <c r="O13" s="741">
        <v>829.74503542560637</v>
      </c>
      <c r="P13" s="712">
        <v>829.74503542560637</v>
      </c>
      <c r="Q13" s="712"/>
      <c r="R13" s="755">
        <v>1.908578856152513</v>
      </c>
      <c r="S13" s="741">
        <v>1.7314356724991273</v>
      </c>
      <c r="T13" s="712">
        <v>1.7314356724991273</v>
      </c>
      <c r="U13" s="744"/>
      <c r="V13" s="697"/>
      <c r="W13" s="697"/>
      <c r="X13" s="697"/>
      <c r="Y13" s="697"/>
    </row>
    <row r="14" spans="1:25">
      <c r="A14" s="699" t="s">
        <v>2125</v>
      </c>
      <c r="B14" s="755">
        <v>14470</v>
      </c>
      <c r="C14" s="741">
        <v>13126.978799067414</v>
      </c>
      <c r="D14" s="726">
        <v>13126.978799067414</v>
      </c>
      <c r="E14" s="712"/>
      <c r="F14" s="755">
        <v>16092</v>
      </c>
      <c r="G14" s="741">
        <v>14598.434197276629</v>
      </c>
      <c r="H14" s="726">
        <v>14598.434197276629</v>
      </c>
      <c r="I14" s="712"/>
      <c r="J14" s="755">
        <v>17058.996797468357</v>
      </c>
      <c r="K14" s="741">
        <v>15475.679978833865</v>
      </c>
      <c r="L14" s="726">
        <v>15475.679978833865</v>
      </c>
      <c r="M14" s="712"/>
      <c r="N14" s="722">
        <v>17214.417000000005</v>
      </c>
      <c r="O14" s="741">
        <v>15616.674982536677</v>
      </c>
      <c r="P14" s="726">
        <v>15616.674982536677</v>
      </c>
      <c r="Q14" s="712"/>
      <c r="R14" s="755">
        <v>4612.5942299999997</v>
      </c>
      <c r="S14" s="742">
        <v>4184.4800736634888</v>
      </c>
      <c r="T14" s="726">
        <v>4184.4800736634888</v>
      </c>
      <c r="U14" s="744"/>
      <c r="V14" s="697"/>
      <c r="W14" s="697"/>
      <c r="X14" s="697"/>
      <c r="Y14" s="697"/>
    </row>
    <row r="15" spans="1:25">
      <c r="A15" s="699" t="s">
        <v>2126</v>
      </c>
      <c r="B15" s="755">
        <v>9123</v>
      </c>
      <c r="C15" s="741">
        <v>8276.2562255626817</v>
      </c>
      <c r="D15" s="726">
        <v>8276.2562255626817</v>
      </c>
      <c r="E15" s="712"/>
      <c r="F15" s="755">
        <v>7940</v>
      </c>
      <c r="G15" s="741">
        <v>7203.0554018379589</v>
      </c>
      <c r="H15" s="726">
        <v>7203.0554018379589</v>
      </c>
      <c r="I15" s="712"/>
      <c r="J15" s="755">
        <v>8417.1286708860771</v>
      </c>
      <c r="K15" s="742">
        <v>7635.8997658427097</v>
      </c>
      <c r="L15" s="726">
        <v>7635.8997658427097</v>
      </c>
      <c r="M15" s="712"/>
      <c r="N15" s="722">
        <v>8493.8150000000023</v>
      </c>
      <c r="O15" s="741">
        <v>7705.4685161161578</v>
      </c>
      <c r="P15" s="726">
        <v>7705.4685161161578</v>
      </c>
      <c r="Q15" s="712"/>
      <c r="R15" s="755">
        <v>9613.9711191440292</v>
      </c>
      <c r="S15" s="742">
        <v>8721.6582623255072</v>
      </c>
      <c r="T15" s="726">
        <v>8721.6582623255072</v>
      </c>
      <c r="U15" s="744"/>
      <c r="V15" s="697"/>
      <c r="W15" s="697"/>
      <c r="X15" s="697"/>
      <c r="Y15" s="697"/>
    </row>
    <row r="16" spans="1:25">
      <c r="A16" s="699" t="s">
        <v>2127</v>
      </c>
      <c r="B16" s="755">
        <v>2929</v>
      </c>
      <c r="C16" s="741">
        <v>2657.1472634739775</v>
      </c>
      <c r="D16" s="726"/>
      <c r="E16" s="712">
        <v>2657.1472634739775</v>
      </c>
      <c r="F16" s="755">
        <v>3096</v>
      </c>
      <c r="G16" s="741">
        <v>2808.6472952254812</v>
      </c>
      <c r="H16" s="726"/>
      <c r="I16" s="712">
        <v>2808.6472952254812</v>
      </c>
      <c r="J16" s="755">
        <v>3282.0441265822787</v>
      </c>
      <c r="K16" s="742">
        <v>2977.4238885452178</v>
      </c>
      <c r="L16" s="726"/>
      <c r="M16" s="712">
        <v>2977.4238885452178</v>
      </c>
      <c r="N16" s="722">
        <v>3311.9460000000004</v>
      </c>
      <c r="O16" s="741">
        <v>3004.550444067459</v>
      </c>
      <c r="P16" s="726"/>
      <c r="Q16" s="712">
        <v>3004.550444067459</v>
      </c>
      <c r="R16" s="755">
        <v>3748.7222399080497</v>
      </c>
      <c r="S16" s="742">
        <v>3400.7876549319608</v>
      </c>
      <c r="T16" s="726"/>
      <c r="U16" s="744">
        <v>3400.7876549319608</v>
      </c>
      <c r="V16" s="697"/>
      <c r="W16" s="697"/>
      <c r="X16" s="697"/>
      <c r="Y16" s="697"/>
    </row>
    <row r="17" spans="1:25">
      <c r="A17" s="699" t="s">
        <v>2128</v>
      </c>
      <c r="B17" s="756">
        <v>2733</v>
      </c>
      <c r="C17" s="708">
        <v>2479.3388429752067</v>
      </c>
      <c r="D17" s="731"/>
      <c r="E17" s="713">
        <v>2479.3388429752067</v>
      </c>
      <c r="F17" s="756">
        <v>2764</v>
      </c>
      <c r="G17" s="708">
        <v>2507.4616033602165</v>
      </c>
      <c r="H17" s="731"/>
      <c r="I17" s="713">
        <v>2507.4616033602165</v>
      </c>
      <c r="J17" s="756">
        <v>2930.0936582278487</v>
      </c>
      <c r="K17" s="718">
        <v>2658.1394147089741</v>
      </c>
      <c r="L17" s="731"/>
      <c r="M17" s="713">
        <v>2658.1394147089741</v>
      </c>
      <c r="N17" s="723">
        <v>2956.7890000000002</v>
      </c>
      <c r="O17" s="708">
        <v>2682.3570501945915</v>
      </c>
      <c r="P17" s="731"/>
      <c r="Q17" s="713">
        <v>2682.3570501945915</v>
      </c>
      <c r="R17" s="756">
        <v>3346.7274777473676</v>
      </c>
      <c r="S17" s="718">
        <v>3036.1037074392571</v>
      </c>
      <c r="T17" s="731"/>
      <c r="U17" s="745">
        <v>3036.1037074392571</v>
      </c>
      <c r="V17" s="697"/>
      <c r="W17" s="697"/>
      <c r="X17" s="697"/>
      <c r="Y17" s="697"/>
    </row>
    <row r="18" spans="1:25">
      <c r="A18" s="724" t="s">
        <v>2129</v>
      </c>
      <c r="B18" s="761">
        <v>273643</v>
      </c>
      <c r="C18" s="720">
        <v>248245.04903339353</v>
      </c>
      <c r="D18" s="762">
        <v>237563.21016773867</v>
      </c>
      <c r="E18" s="760">
        <v>10681.838865654852</v>
      </c>
      <c r="F18" s="761">
        <v>286709</v>
      </c>
      <c r="G18" s="720">
        <v>260098.33894276564</v>
      </c>
      <c r="H18" s="762">
        <v>248900.3350237229</v>
      </c>
      <c r="I18" s="760">
        <v>11198.003919042738</v>
      </c>
      <c r="J18" s="761">
        <v>303937.8519018988</v>
      </c>
      <c r="K18" s="720">
        <v>275728.1090636017</v>
      </c>
      <c r="L18" s="762">
        <v>263857.19724449975</v>
      </c>
      <c r="M18" s="760">
        <v>11870.911819101926</v>
      </c>
      <c r="N18" s="763">
        <v>306706.95275</v>
      </c>
      <c r="O18" s="720">
        <v>278240.19808402361</v>
      </c>
      <c r="P18" s="762">
        <v>266261.13339162763</v>
      </c>
      <c r="Q18" s="760">
        <v>11979.064692395972</v>
      </c>
      <c r="R18" s="761">
        <v>309010.8954206591</v>
      </c>
      <c r="S18" s="784">
        <v>280330.30220233789</v>
      </c>
      <c r="T18" s="762">
        <v>267763.93350591807</v>
      </c>
      <c r="U18" s="764">
        <v>12566.368696419824</v>
      </c>
      <c r="V18" s="697"/>
      <c r="W18" s="697"/>
      <c r="X18" s="697"/>
      <c r="Y18" s="697"/>
    </row>
    <row r="19" spans="1:25">
      <c r="A19" s="699" t="s">
        <v>2130</v>
      </c>
      <c r="B19" s="722">
        <v>24709.548387096773</v>
      </c>
      <c r="C19" s="742">
        <v>22416.151887487889</v>
      </c>
      <c r="D19" s="726"/>
      <c r="E19" s="726">
        <v>22416.151887487889</v>
      </c>
      <c r="F19" s="757">
        <v>26447</v>
      </c>
      <c r="G19" s="742">
        <v>23992.343351688727</v>
      </c>
      <c r="H19" s="726"/>
      <c r="I19" s="712">
        <v>23992.343351688727</v>
      </c>
      <c r="J19" s="757">
        <v>28036.24709810127</v>
      </c>
      <c r="K19" s="742">
        <v>25434.085781768532</v>
      </c>
      <c r="L19" s="726"/>
      <c r="M19" s="726">
        <v>25434.085781768532</v>
      </c>
      <c r="N19" s="722">
        <v>28291.678250000004</v>
      </c>
      <c r="O19" s="742">
        <v>25665.80930046902</v>
      </c>
      <c r="P19" s="726"/>
      <c r="Q19" s="726">
        <v>25665.80930046902</v>
      </c>
      <c r="R19" s="757">
        <v>32022.757454408325</v>
      </c>
      <c r="S19" s="742">
        <v>29050.591443793786</v>
      </c>
      <c r="T19" s="726"/>
      <c r="U19" s="746">
        <v>29050.591443793786</v>
      </c>
      <c r="V19" s="697"/>
      <c r="W19" s="697"/>
      <c r="X19" s="697"/>
      <c r="Y19" s="697"/>
    </row>
    <row r="20" spans="1:25">
      <c r="A20" s="734" t="s">
        <v>2131</v>
      </c>
      <c r="B20" s="722">
        <v>1764.9677419354839</v>
      </c>
      <c r="C20" s="742">
        <v>1601.153706249135</v>
      </c>
      <c r="D20" s="727">
        <v>1601.153706249135</v>
      </c>
      <c r="E20" s="727"/>
      <c r="F20" s="758">
        <v>1896</v>
      </c>
      <c r="G20" s="742">
        <v>1720.0243125799459</v>
      </c>
      <c r="H20" s="727">
        <v>1720.0243125799459</v>
      </c>
      <c r="I20" s="714"/>
      <c r="J20" s="758">
        <v>2009.9340000000004</v>
      </c>
      <c r="K20" s="742">
        <v>1823.3836216672266</v>
      </c>
      <c r="L20" s="727">
        <v>1823.3836216672266</v>
      </c>
      <c r="M20" s="727"/>
      <c r="N20" s="722">
        <v>2028.2460000000003</v>
      </c>
      <c r="O20" s="742">
        <v>1839.9960083823973</v>
      </c>
      <c r="P20" s="727">
        <v>1839.9960083823973</v>
      </c>
      <c r="Q20" s="727"/>
      <c r="R20" s="758">
        <v>2295.7291236646192</v>
      </c>
      <c r="S20" s="742">
        <v>2082.6529049583323</v>
      </c>
      <c r="T20" s="727">
        <v>2082.6529049583323</v>
      </c>
      <c r="U20" s="747"/>
      <c r="V20" s="697"/>
      <c r="W20" s="697"/>
      <c r="X20" s="697"/>
      <c r="Y20" s="697"/>
    </row>
    <row r="21" spans="1:25">
      <c r="A21" s="734" t="s">
        <v>2132</v>
      </c>
      <c r="B21" s="723">
        <v>882.48387096774195</v>
      </c>
      <c r="C21" s="718">
        <v>800.57685312456749</v>
      </c>
      <c r="D21" s="769">
        <v>800.57685312456749</v>
      </c>
      <c r="E21" s="769"/>
      <c r="F21" s="770">
        <v>948</v>
      </c>
      <c r="G21" s="718">
        <v>860.01215628997295</v>
      </c>
      <c r="H21" s="769">
        <v>860.01215628997295</v>
      </c>
      <c r="I21" s="771"/>
      <c r="J21" s="770">
        <v>1004.9670000000002</v>
      </c>
      <c r="K21" s="718">
        <v>911.69181083361332</v>
      </c>
      <c r="L21" s="769">
        <v>911.69181083361332</v>
      </c>
      <c r="M21" s="769"/>
      <c r="N21" s="723">
        <v>1014.1230000000002</v>
      </c>
      <c r="O21" s="718">
        <v>919.99800419119867</v>
      </c>
      <c r="P21" s="769">
        <v>919.99800419119867</v>
      </c>
      <c r="Q21" s="769"/>
      <c r="R21" s="770">
        <v>1147.8645618323096</v>
      </c>
      <c r="S21" s="718">
        <v>1041.3264524791662</v>
      </c>
      <c r="T21" s="769">
        <v>1041.3264524791662</v>
      </c>
      <c r="U21" s="772"/>
      <c r="V21" s="697"/>
      <c r="W21" s="697"/>
      <c r="X21" s="697"/>
      <c r="Y21" s="697"/>
    </row>
    <row r="22" spans="1:25">
      <c r="A22" s="768" t="s">
        <v>50</v>
      </c>
      <c r="B22" s="759">
        <v>301000</v>
      </c>
      <c r="C22" s="719">
        <v>273062.93148025509</v>
      </c>
      <c r="D22" s="766">
        <v>239964.94072711238</v>
      </c>
      <c r="E22" s="765">
        <v>33097.990753142745</v>
      </c>
      <c r="F22" s="759">
        <v>316000</v>
      </c>
      <c r="G22" s="719">
        <v>286670.71876332426</v>
      </c>
      <c r="H22" s="766">
        <v>251480.37149259282</v>
      </c>
      <c r="I22" s="766">
        <v>35190.347270731465</v>
      </c>
      <c r="J22" s="759">
        <v>334989</v>
      </c>
      <c r="K22" s="719">
        <v>303897.27027787111</v>
      </c>
      <c r="L22" s="766">
        <v>266592.27267700061</v>
      </c>
      <c r="M22" s="765">
        <v>37304.997600870454</v>
      </c>
      <c r="N22" s="710">
        <v>338041</v>
      </c>
      <c r="O22" s="719">
        <v>306666.00139706623</v>
      </c>
      <c r="P22" s="766">
        <v>269021.12740420125</v>
      </c>
      <c r="Q22" s="765">
        <v>37644.873992864988</v>
      </c>
      <c r="R22" s="759">
        <v>344477.24656056438</v>
      </c>
      <c r="S22" s="720">
        <v>312504.8730035692</v>
      </c>
      <c r="T22" s="766">
        <v>270887.9128633556</v>
      </c>
      <c r="U22" s="767">
        <v>41616.96014021361</v>
      </c>
      <c r="V22" s="697"/>
      <c r="W22" s="697"/>
      <c r="X22" s="697"/>
      <c r="Y22" s="697"/>
    </row>
    <row r="23" spans="1:25">
      <c r="A23" s="734"/>
      <c r="B23" s="752"/>
      <c r="C23" s="719"/>
      <c r="D23" s="715"/>
      <c r="E23" s="748"/>
      <c r="F23" s="752"/>
      <c r="G23" s="719"/>
      <c r="H23" s="715"/>
      <c r="I23" s="714"/>
      <c r="J23" s="752"/>
      <c r="K23" s="720"/>
      <c r="L23" s="715"/>
      <c r="M23" s="748"/>
      <c r="N23" s="752"/>
      <c r="O23" s="720"/>
      <c r="P23" s="715"/>
      <c r="Q23" s="748"/>
      <c r="R23" s="786"/>
      <c r="S23" s="720"/>
      <c r="T23" s="715"/>
      <c r="U23" s="739"/>
      <c r="V23" s="697"/>
      <c r="W23" s="697"/>
      <c r="X23" s="697"/>
      <c r="Y23" s="697"/>
    </row>
    <row r="24" spans="1:25">
      <c r="A24" s="734"/>
      <c r="B24" s="752"/>
      <c r="C24" s="719"/>
      <c r="D24" s="715"/>
      <c r="E24" s="748"/>
      <c r="F24" s="752"/>
      <c r="G24" s="719"/>
      <c r="H24" s="715"/>
      <c r="I24" s="714"/>
      <c r="J24" s="752"/>
      <c r="K24" s="720"/>
      <c r="L24" s="715"/>
      <c r="M24" s="748"/>
      <c r="N24" s="752"/>
      <c r="O24" s="720"/>
      <c r="P24" s="715"/>
      <c r="Q24" s="739"/>
      <c r="R24" s="787"/>
      <c r="S24" s="720"/>
      <c r="T24" s="715"/>
      <c r="U24" s="739"/>
      <c r="V24" s="697"/>
      <c r="W24" s="697"/>
      <c r="X24" s="697"/>
      <c r="Y24" s="697"/>
    </row>
    <row r="25" spans="1:25">
      <c r="A25" s="735" t="s">
        <v>2133</v>
      </c>
      <c r="B25" s="752"/>
      <c r="C25" s="750"/>
      <c r="D25" s="728">
        <v>7503425</v>
      </c>
      <c r="E25" s="748"/>
      <c r="F25" s="752"/>
      <c r="G25" s="750"/>
      <c r="H25" s="728">
        <v>7650213</v>
      </c>
      <c r="I25" s="729"/>
      <c r="J25" s="752"/>
      <c r="K25" s="729"/>
      <c r="L25" s="728">
        <v>7963387</v>
      </c>
      <c r="M25" s="748"/>
      <c r="N25" s="752"/>
      <c r="O25" s="721"/>
      <c r="P25" s="728">
        <v>8347190</v>
      </c>
      <c r="Q25" s="739"/>
      <c r="R25" s="787"/>
      <c r="S25" s="701"/>
      <c r="T25" s="728">
        <v>8403343</v>
      </c>
      <c r="U25" s="739"/>
      <c r="V25" s="697"/>
      <c r="W25" s="697"/>
      <c r="X25" s="697"/>
      <c r="Y25" s="697"/>
    </row>
    <row r="26" spans="1:25">
      <c r="A26" s="736" t="s">
        <v>2134</v>
      </c>
      <c r="B26" s="774"/>
      <c r="C26" s="775"/>
      <c r="D26" s="776">
        <v>3.198072090107016E-2</v>
      </c>
      <c r="E26" s="775"/>
      <c r="F26" s="774"/>
      <c r="G26" s="775"/>
      <c r="H26" s="776">
        <v>3.2872335906541796E-2</v>
      </c>
      <c r="I26" s="773"/>
      <c r="J26" s="774"/>
      <c r="K26" s="777"/>
      <c r="L26" s="776">
        <v>3.3477246889671519E-2</v>
      </c>
      <c r="M26" s="775"/>
      <c r="N26" s="774"/>
      <c r="O26" s="773"/>
      <c r="P26" s="776">
        <v>3.2228944998760209E-2</v>
      </c>
      <c r="Q26" s="778"/>
      <c r="R26" s="788"/>
      <c r="S26" s="773"/>
      <c r="T26" s="776">
        <v>3.2235732001342277E-2</v>
      </c>
      <c r="U26" s="778"/>
      <c r="V26" s="697"/>
      <c r="W26" s="697"/>
      <c r="X26" s="697"/>
      <c r="Y26" s="697"/>
    </row>
    <row r="27" spans="1:25">
      <c r="A27" s="736"/>
      <c r="B27" s="753"/>
      <c r="C27" s="751"/>
      <c r="D27" s="725"/>
      <c r="E27" s="749"/>
      <c r="F27" s="753"/>
      <c r="G27" s="751"/>
      <c r="H27" s="725"/>
      <c r="I27" s="724"/>
      <c r="J27" s="753"/>
      <c r="K27" s="706"/>
      <c r="L27" s="725"/>
      <c r="M27" s="749"/>
      <c r="N27" s="753"/>
      <c r="O27" s="700"/>
      <c r="P27" s="725"/>
      <c r="Q27" s="740"/>
      <c r="R27" s="789"/>
      <c r="S27" s="700"/>
      <c r="T27" s="725"/>
      <c r="U27" s="740"/>
      <c r="V27" s="697"/>
      <c r="W27" s="697"/>
      <c r="X27" s="697"/>
      <c r="Y27" s="697"/>
    </row>
    <row r="28" spans="1:25">
      <c r="A28" s="735" t="s">
        <v>2135</v>
      </c>
      <c r="B28" s="752"/>
      <c r="C28" s="750"/>
      <c r="D28" s="728">
        <v>28083.716666666664</v>
      </c>
      <c r="E28" s="748"/>
      <c r="F28" s="752"/>
      <c r="G28" s="750"/>
      <c r="H28" s="728">
        <v>28622.475000000002</v>
      </c>
      <c r="I28" s="729"/>
      <c r="J28" s="752"/>
      <c r="K28" s="729"/>
      <c r="L28" s="728">
        <v>29791.741666666669</v>
      </c>
      <c r="M28" s="748"/>
      <c r="N28" s="752"/>
      <c r="O28" s="721"/>
      <c r="P28" s="728">
        <v>30836.974999999999</v>
      </c>
      <c r="Q28" s="739"/>
      <c r="R28" s="787"/>
      <c r="S28" s="701"/>
      <c r="T28" s="728">
        <v>30181.449999999997</v>
      </c>
      <c r="U28" s="739"/>
      <c r="V28" s="697"/>
      <c r="W28" s="697"/>
      <c r="X28" s="697"/>
      <c r="Y28" s="697"/>
    </row>
    <row r="29" spans="1:25">
      <c r="A29" s="736" t="s">
        <v>2136</v>
      </c>
      <c r="B29" s="774"/>
      <c r="C29" s="775"/>
      <c r="D29" s="779">
        <v>8.5446290309549155</v>
      </c>
      <c r="E29" s="775"/>
      <c r="F29" s="774"/>
      <c r="G29" s="775"/>
      <c r="H29" s="779">
        <v>8.7861155086201599</v>
      </c>
      <c r="I29" s="773"/>
      <c r="J29" s="774"/>
      <c r="K29" s="777"/>
      <c r="L29" s="779">
        <v>8.9485292823710569</v>
      </c>
      <c r="M29" s="775"/>
      <c r="N29" s="774"/>
      <c r="O29" s="773"/>
      <c r="P29" s="779">
        <v>8.7239791647592302</v>
      </c>
      <c r="Q29" s="778"/>
      <c r="R29" s="788"/>
      <c r="S29" s="773"/>
      <c r="T29" s="779">
        <v>8.9753114202053119</v>
      </c>
      <c r="U29" s="778"/>
      <c r="V29" s="697"/>
      <c r="W29" s="697"/>
      <c r="X29" s="697"/>
      <c r="Y29" s="697"/>
    </row>
    <row r="30" spans="1:25">
      <c r="A30" s="736"/>
      <c r="B30" s="697"/>
      <c r="C30" s="697"/>
      <c r="D30" s="730"/>
      <c r="E30" s="703"/>
      <c r="F30" s="703"/>
      <c r="G30" s="697"/>
      <c r="H30" s="730"/>
      <c r="I30" s="697"/>
      <c r="J30" s="697"/>
      <c r="K30" s="697"/>
      <c r="L30" s="730"/>
      <c r="M30" s="697"/>
      <c r="N30" s="697"/>
      <c r="O30" s="697"/>
      <c r="P30" s="730"/>
      <c r="Q30" s="697"/>
      <c r="R30" s="697"/>
      <c r="S30" s="697"/>
      <c r="T30" s="730"/>
      <c r="U30" s="697"/>
      <c r="V30" s="697"/>
      <c r="W30" s="697"/>
      <c r="X30" s="697"/>
      <c r="Y30" s="697"/>
    </row>
    <row r="31" spans="1:25" ht="30">
      <c r="A31" s="738" t="s">
        <v>2137</v>
      </c>
      <c r="B31" s="697"/>
      <c r="C31" s="697"/>
      <c r="D31" s="697"/>
      <c r="E31" s="703"/>
      <c r="F31" s="703"/>
      <c r="G31" s="697"/>
      <c r="H31" s="697"/>
      <c r="I31" s="697"/>
      <c r="J31" s="697"/>
      <c r="K31" s="697"/>
      <c r="L31" s="697"/>
      <c r="M31" s="697"/>
      <c r="N31" s="697"/>
      <c r="O31" s="697"/>
      <c r="P31" s="697"/>
      <c r="Q31" s="697"/>
      <c r="R31" s="697"/>
      <c r="S31" s="697"/>
      <c r="T31" s="697"/>
      <c r="U31" s="697"/>
      <c r="V31" s="697"/>
      <c r="W31" s="697"/>
      <c r="X31" s="697"/>
      <c r="Y31" s="697"/>
    </row>
    <row r="32" spans="1:25">
      <c r="A32" s="734" t="s">
        <v>2138</v>
      </c>
      <c r="B32" s="704" t="s">
        <v>2139</v>
      </c>
      <c r="C32" s="704" t="s">
        <v>2140</v>
      </c>
      <c r="D32" s="699" t="s">
        <v>2141</v>
      </c>
      <c r="E32" s="697"/>
      <c r="F32" s="705"/>
      <c r="G32" s="705"/>
      <c r="H32" s="697" t="s">
        <v>2165</v>
      </c>
      <c r="I32" s="697"/>
      <c r="J32" s="697"/>
      <c r="K32" s="697"/>
      <c r="L32" s="697"/>
      <c r="M32" s="697"/>
      <c r="N32" s="697"/>
      <c r="O32" s="697"/>
      <c r="P32" s="697"/>
      <c r="Q32" s="697"/>
      <c r="R32" s="697"/>
      <c r="S32" s="697"/>
      <c r="T32" s="697"/>
      <c r="U32" s="697"/>
      <c r="V32" s="697"/>
      <c r="W32" s="697"/>
      <c r="X32" s="697"/>
      <c r="Y32" s="697"/>
    </row>
    <row r="33" spans="1:25">
      <c r="A33" s="737" t="s">
        <v>2142</v>
      </c>
      <c r="B33" s="698" t="s">
        <v>2143</v>
      </c>
      <c r="C33" s="698">
        <v>3414</v>
      </c>
      <c r="D33" s="703">
        <v>1.985867</v>
      </c>
      <c r="E33" s="697"/>
      <c r="F33" s="702"/>
      <c r="G33" s="702"/>
      <c r="H33" s="697"/>
      <c r="I33" s="697" t="s">
        <v>2149</v>
      </c>
      <c r="J33" s="697" t="s">
        <v>2150</v>
      </c>
      <c r="K33" s="697" t="s">
        <v>2151</v>
      </c>
      <c r="L33" s="697" t="s">
        <v>2152</v>
      </c>
      <c r="M33" s="697" t="s">
        <v>2153</v>
      </c>
      <c r="N33" s="697"/>
      <c r="O33" s="697"/>
      <c r="P33" s="697"/>
      <c r="Q33" s="697"/>
      <c r="R33" s="697"/>
      <c r="S33" s="697"/>
      <c r="T33" s="697"/>
      <c r="U33" s="697"/>
      <c r="V33" s="697"/>
      <c r="W33" s="697"/>
      <c r="X33" s="697"/>
      <c r="Y33" s="697"/>
    </row>
    <row r="34" spans="1:25">
      <c r="A34" s="699" t="s">
        <v>2144</v>
      </c>
      <c r="B34" s="698" t="s">
        <v>2145</v>
      </c>
      <c r="C34" s="698">
        <v>140000</v>
      </c>
      <c r="D34" s="703">
        <v>23.08</v>
      </c>
      <c r="E34" s="697"/>
      <c r="F34" s="702"/>
      <c r="G34" s="702"/>
      <c r="H34" s="696" t="s">
        <v>2087</v>
      </c>
      <c r="I34" s="231">
        <f>B15*2000/$D$36</f>
        <v>151293.53233830846</v>
      </c>
      <c r="J34" s="231">
        <f>F15*2000/$D$36</f>
        <v>131674.95854063018</v>
      </c>
      <c r="K34" s="231">
        <f>J15*2000/$D$36</f>
        <v>139587.54014736446</v>
      </c>
      <c r="L34" s="231">
        <f>N15*2000/$D$36</f>
        <v>140859.28689883917</v>
      </c>
      <c r="M34" s="231">
        <f>R15*2000/$D$36</f>
        <v>159435.6736176456</v>
      </c>
      <c r="N34" s="697"/>
      <c r="O34" s="697"/>
      <c r="P34" s="697"/>
      <c r="Q34" s="697"/>
      <c r="R34" s="697"/>
      <c r="S34" s="697"/>
      <c r="T34" s="697"/>
      <c r="U34" s="697"/>
      <c r="V34" s="697"/>
      <c r="W34" s="697"/>
      <c r="X34" s="697"/>
      <c r="Y34" s="697"/>
    </row>
    <row r="35" spans="1:25">
      <c r="A35" s="699" t="s">
        <v>612</v>
      </c>
      <c r="B35" s="698" t="s">
        <v>865</v>
      </c>
      <c r="C35" s="698">
        <v>19214000</v>
      </c>
      <c r="D35" s="711">
        <v>4170</v>
      </c>
      <c r="E35" s="697"/>
      <c r="F35" s="702"/>
      <c r="G35" s="702"/>
      <c r="H35" s="696" t="s">
        <v>2086</v>
      </c>
      <c r="I35" s="231">
        <f>B14*2000/$D$36</f>
        <v>239966.83250414595</v>
      </c>
      <c r="J35" s="231">
        <f>F14*2000/$D$36</f>
        <v>266865.67164179106</v>
      </c>
      <c r="K35" s="231">
        <f>J14*2000/$D$36</f>
        <v>282902.10277725302</v>
      </c>
      <c r="L35" s="231">
        <f>N14*2000/$D$36</f>
        <v>285479.55223880603</v>
      </c>
      <c r="M35" s="231">
        <f>R14*2000/$D$36</f>
        <v>76494.099999999991</v>
      </c>
      <c r="N35" s="697"/>
      <c r="O35" s="711"/>
      <c r="P35" s="711"/>
      <c r="Q35" s="697"/>
      <c r="R35" s="697"/>
      <c r="S35" s="697"/>
      <c r="T35" s="711"/>
      <c r="U35" s="711"/>
      <c r="V35" s="697"/>
      <c r="W35" s="697"/>
      <c r="X35" s="697"/>
      <c r="Y35" s="697"/>
    </row>
    <row r="36" spans="1:25" s="697" customFormat="1">
      <c r="A36" s="699" t="s">
        <v>2</v>
      </c>
      <c r="B36" s="698" t="s">
        <v>2146</v>
      </c>
      <c r="C36" s="698">
        <v>1030000</v>
      </c>
      <c r="D36" s="703">
        <v>120.6</v>
      </c>
      <c r="F36" s="702"/>
      <c r="G36" s="702"/>
      <c r="H36" s="696" t="s">
        <v>2386</v>
      </c>
      <c r="I36" s="231"/>
      <c r="J36" s="231"/>
      <c r="K36" s="231">
        <f>SUM('2006 ATMOS NG Billed Volumes'!$I$87:$N$87)+SUM('2007 ATMOS NG Billed Volumes'!$C$87:$H$87)</f>
        <v>273545</v>
      </c>
      <c r="L36" s="231">
        <f>SUM('2007 ATMOS NG Billed Volumes'!$I87:$N87)+SUM('2008 ATMOS NG Billed Volumes'!$C87:$H87)</f>
        <v>262619.39500000002</v>
      </c>
      <c r="M36" s="231">
        <f>SUM('2008 ATMOS NG Billed Volumes'!$I87:$N87)+SUM('2009 ATMOS NG Billed Volumes'!$C87:$H87)</f>
        <v>143605</v>
      </c>
      <c r="O36" s="711"/>
      <c r="P36" s="711"/>
      <c r="T36" s="711"/>
      <c r="U36" s="711"/>
    </row>
    <row r="37" spans="1:25" s="697" customFormat="1">
      <c r="A37" s="699" t="s">
        <v>2147</v>
      </c>
      <c r="B37" s="698" t="s">
        <v>2145</v>
      </c>
      <c r="C37" s="698">
        <v>92000</v>
      </c>
      <c r="D37" s="703">
        <v>13.494</v>
      </c>
      <c r="F37" s="702"/>
      <c r="G37" s="702"/>
      <c r="H37" s="696" t="s">
        <v>2396</v>
      </c>
      <c r="I37" s="231"/>
      <c r="J37" s="231"/>
      <c r="K37" s="231">
        <f>SUM('2006 ATMOS NG Billed Volumes'!$J$87:$N$87)+SUM('2007 ATMOS NG Billed Volumes'!$C$87:$I$87)</f>
        <v>275504</v>
      </c>
      <c r="L37" s="231">
        <f>SUM('2007 ATMOS NG Billed Volumes'!$J$87:$N$87)+SUM('2008 ATMOS NG Billed Volumes'!$C$87:$I$87)</f>
        <v>224267.39500000002</v>
      </c>
      <c r="M37" s="231">
        <f>SUM('2008 ATMOS NG Billed Volumes'!$J$87:$N$87)+SUM('2009 ATMOS NG Billed Volumes'!$C$87:$I$87)</f>
        <v>143337</v>
      </c>
      <c r="O37" s="711"/>
      <c r="P37" s="711"/>
      <c r="T37" s="711"/>
      <c r="U37" s="711"/>
    </row>
    <row r="38" spans="1:25">
      <c r="A38" s="699" t="s">
        <v>590</v>
      </c>
      <c r="B38" s="698" t="s">
        <v>2148</v>
      </c>
      <c r="C38" s="698">
        <v>4945</v>
      </c>
      <c r="D38" s="703">
        <v>8.5999999999999993E-2</v>
      </c>
      <c r="E38" s="697"/>
      <c r="F38" s="702"/>
      <c r="G38" s="702"/>
      <c r="H38" s="697"/>
      <c r="I38" s="697"/>
      <c r="J38" s="697"/>
      <c r="K38" s="697"/>
      <c r="L38" s="697"/>
      <c r="M38" s="697"/>
      <c r="N38" s="697"/>
      <c r="O38" s="697"/>
      <c r="P38" s="697"/>
      <c r="Q38" s="697"/>
      <c r="R38" s="697"/>
      <c r="S38" s="697"/>
      <c r="T38" s="697"/>
      <c r="U38" s="697"/>
      <c r="V38" s="697"/>
      <c r="W38" s="697"/>
      <c r="X38" s="697"/>
      <c r="Y38" s="697"/>
    </row>
    <row r="39" spans="1:25">
      <c r="G39" s="702"/>
      <c r="H39" s="697" t="s">
        <v>2389</v>
      </c>
    </row>
    <row r="40" spans="1:25">
      <c r="G40" s="702"/>
      <c r="I40" s="697" t="s">
        <v>2164</v>
      </c>
      <c r="J40" s="697" t="s">
        <v>2155</v>
      </c>
      <c r="K40" s="697" t="s">
        <v>2156</v>
      </c>
      <c r="L40" s="697" t="s">
        <v>2157</v>
      </c>
      <c r="M40" s="697" t="s">
        <v>2158</v>
      </c>
      <c r="N40" s="697" t="s">
        <v>2159</v>
      </c>
      <c r="O40" s="697" t="s">
        <v>2160</v>
      </c>
      <c r="P40" s="697" t="s">
        <v>2161</v>
      </c>
      <c r="Q40" s="697" t="s">
        <v>2162</v>
      </c>
      <c r="R40" s="697" t="s">
        <v>2163</v>
      </c>
      <c r="S40" s="697"/>
      <c r="T40" s="697" t="s">
        <v>2163</v>
      </c>
    </row>
    <row r="41" spans="1:25">
      <c r="H41" s="697" t="s">
        <v>2390</v>
      </c>
      <c r="I41" s="226">
        <f>I34/2</f>
        <v>75646.766169154231</v>
      </c>
      <c r="J41" s="226">
        <f>I34/2</f>
        <v>75646.766169154231</v>
      </c>
      <c r="K41" s="226">
        <f>J34/2</f>
        <v>65837.479270315089</v>
      </c>
      <c r="L41" s="226">
        <f>J34/2</f>
        <v>65837.479270315089</v>
      </c>
      <c r="M41" s="226">
        <f>K34/2</f>
        <v>69793.77007368223</v>
      </c>
      <c r="N41" s="226">
        <f>K34/2</f>
        <v>69793.77007368223</v>
      </c>
      <c r="O41" s="226">
        <f>L34/2</f>
        <v>70429.643449419586</v>
      </c>
      <c r="P41" s="226">
        <f>L34/2</f>
        <v>70429.643449419586</v>
      </c>
      <c r="Q41" s="226">
        <f>M34/2</f>
        <v>79717.836808822802</v>
      </c>
      <c r="R41" s="226">
        <f>M34/2</f>
        <v>79717.836808822802</v>
      </c>
      <c r="T41" s="231"/>
    </row>
    <row r="42" spans="1:25">
      <c r="A42" s="697"/>
      <c r="B42" s="697"/>
      <c r="C42" s="697"/>
      <c r="D42" s="697"/>
      <c r="E42" s="697"/>
      <c r="F42" s="697"/>
      <c r="H42" s="697" t="s">
        <v>2391</v>
      </c>
      <c r="I42" s="226">
        <f>I35/2</f>
        <v>119983.41625207297</v>
      </c>
      <c r="J42" s="226">
        <f>I35/2</f>
        <v>119983.41625207297</v>
      </c>
      <c r="K42" s="226">
        <f>J35/2</f>
        <v>133432.83582089553</v>
      </c>
      <c r="L42" s="226">
        <f>J35/2</f>
        <v>133432.83582089553</v>
      </c>
      <c r="M42" s="226">
        <f>K35/2</f>
        <v>141451.05138862651</v>
      </c>
      <c r="N42" s="226">
        <f>K35/2</f>
        <v>141451.05138862651</v>
      </c>
      <c r="O42" s="226">
        <f>L35/2</f>
        <v>142739.77611940302</v>
      </c>
      <c r="P42" s="226">
        <f>L35/2</f>
        <v>142739.77611940302</v>
      </c>
      <c r="Q42" s="226">
        <f>M35/2</f>
        <v>38247.049999999996</v>
      </c>
      <c r="R42" s="226">
        <f>M35/2</f>
        <v>38247.049999999996</v>
      </c>
      <c r="T42" s="231"/>
    </row>
    <row r="43" spans="1:25">
      <c r="A43" s="697"/>
      <c r="B43" s="697"/>
      <c r="C43" s="697"/>
      <c r="D43" s="697"/>
      <c r="E43" s="697"/>
      <c r="F43" s="697"/>
      <c r="H43" s="697" t="s">
        <v>2392</v>
      </c>
      <c r="Q43" s="971">
        <f>M34-R43</f>
        <v>76344.479255445884</v>
      </c>
      <c r="R43" s="231">
        <f>SUM('Virginia Tech Energy Data'!$B$45:$B$50)/1000000/1.028</f>
        <v>83091.19436219972</v>
      </c>
    </row>
    <row r="44" spans="1:25" s="697" customFormat="1">
      <c r="H44" s="697" t="s">
        <v>2393</v>
      </c>
      <c r="Q44" s="971">
        <f>M35-R44</f>
        <v>38065.98715953307</v>
      </c>
      <c r="R44" s="231">
        <f>SUM('Virginia Tech Energy Data'!$C$45:$C$50)/1000000/1.028</f>
        <v>38428.112840466922</v>
      </c>
    </row>
    <row r="45" spans="1:25" s="697" customFormat="1">
      <c r="H45" s="697" t="s">
        <v>2395</v>
      </c>
      <c r="L45" s="231">
        <f>SUM('2006 ATMOS NG Billed Volumes'!$D87:$I87)</f>
        <v>99595</v>
      </c>
      <c r="M45" s="231">
        <f>SUM('2006 ATMOS NG Billed Volumes'!$J87:$N87)+'2007 ATMOS NG Billed Volumes'!$C87</f>
        <v>173941</v>
      </c>
      <c r="N45" s="231">
        <f>SUM('2007 ATMOS NG Billed Volumes'!$D87:$I87)</f>
        <v>101563</v>
      </c>
      <c r="O45" s="231">
        <f>SUM('2007 ATMOS NG Billed Volumes'!$J87:$N87)+'2008 ATMOS NG Billed Volumes'!$C87</f>
        <v>178235.39499999999</v>
      </c>
      <c r="P45" s="231">
        <f>SUM('2008 ATMOS NG Billed Volumes'!$D87:$I87)</f>
        <v>46032</v>
      </c>
      <c r="Q45" s="231">
        <f>SUM('2008 ATMOS NG Billed Volumes'!$J87:$N87)+'2009 ATMOS NG Billed Volumes'!$C87</f>
        <v>92149</v>
      </c>
      <c r="R45" s="231">
        <f>SUM('2009 ATMOS NG Billed Volumes'!$D87:$I87)</f>
        <v>51188</v>
      </c>
    </row>
    <row r="46" spans="1:25" s="697" customFormat="1">
      <c r="H46" s="697" t="s">
        <v>2394</v>
      </c>
      <c r="L46" s="226">
        <f>L45-L42</f>
        <v>-33837.835820895532</v>
      </c>
      <c r="M46" s="226">
        <f t="shared" ref="M46:R46" si="0">M45-M42</f>
        <v>32489.948611373489</v>
      </c>
      <c r="N46" s="226">
        <f t="shared" si="0"/>
        <v>-39888.051388626511</v>
      </c>
      <c r="O46" s="226">
        <f t="shared" si="0"/>
        <v>35495.618880596972</v>
      </c>
      <c r="P46" s="226">
        <f t="shared" si="0"/>
        <v>-96707.776119403017</v>
      </c>
      <c r="Q46" s="226">
        <f t="shared" si="0"/>
        <v>53901.950000000004</v>
      </c>
      <c r="R46" s="226">
        <f t="shared" si="0"/>
        <v>12940.950000000004</v>
      </c>
    </row>
    <row r="47" spans="1:25" s="697" customFormat="1"/>
    <row r="48" spans="1:25" s="697" customFormat="1">
      <c r="M48" s="1092">
        <f>SUM(M45:N45)</f>
        <v>275504</v>
      </c>
      <c r="N48" s="1093"/>
      <c r="O48" s="1092">
        <f t="shared" ref="O48" si="1">SUM(O45:P45)</f>
        <v>224267.39499999999</v>
      </c>
      <c r="P48" s="1093"/>
      <c r="Q48" s="1092">
        <f t="shared" ref="Q48" si="2">SUM(Q45:R45)</f>
        <v>143337</v>
      </c>
      <c r="R48" s="1093"/>
    </row>
    <row r="49" spans="1:12" s="697" customFormat="1"/>
    <row r="50" spans="1:12" s="697" customFormat="1">
      <c r="A50"/>
      <c r="B50"/>
      <c r="C50"/>
      <c r="D50"/>
      <c r="E50"/>
      <c r="F50"/>
    </row>
    <row r="51" spans="1:12" s="697" customFormat="1">
      <c r="A51"/>
      <c r="B51"/>
      <c r="C51"/>
      <c r="D51"/>
      <c r="E51"/>
      <c r="F51"/>
    </row>
    <row r="52" spans="1:12">
      <c r="H52" s="697" t="s">
        <v>2166</v>
      </c>
    </row>
    <row r="53" spans="1:12">
      <c r="I53" s="697">
        <v>2005</v>
      </c>
      <c r="J53">
        <v>2006</v>
      </c>
      <c r="K53">
        <v>2007</v>
      </c>
      <c r="L53">
        <v>2008</v>
      </c>
    </row>
    <row r="54" spans="1:12">
      <c r="H54" s="697" t="s">
        <v>2087</v>
      </c>
      <c r="I54" s="226">
        <f>SUM(J41:K41)</f>
        <v>141484.24543946932</v>
      </c>
      <c r="J54" s="226">
        <f>SUM(L41:M41)</f>
        <v>135631.24934399733</v>
      </c>
      <c r="K54" s="226">
        <f>SUM(N41:O41)</f>
        <v>140223.41352310183</v>
      </c>
      <c r="L54" s="226">
        <f>SUM(P41:Q41)</f>
        <v>150147.4802582424</v>
      </c>
    </row>
    <row r="55" spans="1:12">
      <c r="H55" s="697" t="s">
        <v>2086</v>
      </c>
      <c r="I55" s="226">
        <f>SUM(J42:K42)</f>
        <v>253416.25207296852</v>
      </c>
      <c r="J55" s="226">
        <f>SUM(L42:M42)</f>
        <v>274883.88720952207</v>
      </c>
      <c r="K55" s="226">
        <f>SUM(N42:O42)</f>
        <v>284190.82750802953</v>
      </c>
      <c r="L55" s="226">
        <f>SUM(P42:Q42)</f>
        <v>180986.82611940301</v>
      </c>
    </row>
    <row r="57" spans="1:12">
      <c r="H57" s="697" t="s">
        <v>2167</v>
      </c>
    </row>
    <row r="58" spans="1:12">
      <c r="H58" s="697"/>
      <c r="I58" s="697">
        <v>2005</v>
      </c>
      <c r="J58" s="697">
        <v>2006</v>
      </c>
      <c r="K58" s="697">
        <v>2007</v>
      </c>
      <c r="L58" s="697">
        <v>2008</v>
      </c>
    </row>
    <row r="59" spans="1:12">
      <c r="H59" s="697" t="s">
        <v>2087</v>
      </c>
      <c r="I59" s="226">
        <v>155835</v>
      </c>
      <c r="J59" s="226">
        <v>135617</v>
      </c>
      <c r="K59" s="247" t="s">
        <v>2168</v>
      </c>
      <c r="L59" s="247" t="s">
        <v>2168</v>
      </c>
    </row>
    <row r="60" spans="1:12">
      <c r="H60" s="697" t="s">
        <v>2086</v>
      </c>
      <c r="I60" s="226">
        <v>247162</v>
      </c>
      <c r="J60" s="226">
        <v>274875</v>
      </c>
      <c r="K60" s="247" t="s">
        <v>2168</v>
      </c>
      <c r="L60" s="247" t="s">
        <v>2168</v>
      </c>
    </row>
  </sheetData>
  <mergeCells count="3">
    <mergeCell ref="Q48:R48"/>
    <mergeCell ref="O48:P48"/>
    <mergeCell ref="M48:N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AG101"/>
  <sheetViews>
    <sheetView workbookViewId="0">
      <selection activeCell="L69" sqref="L69"/>
    </sheetView>
  </sheetViews>
  <sheetFormatPr defaultRowHeight="15"/>
  <cols>
    <col min="1" max="1" width="4.5703125" style="697" bestFit="1" customWidth="1"/>
    <col min="2" max="2" width="6.85546875" style="697" customWidth="1"/>
    <col min="3" max="3" width="2.28515625" style="697" customWidth="1"/>
    <col min="4" max="4" width="4.85546875" style="697" bestFit="1" customWidth="1"/>
    <col min="5" max="5" width="2.28515625" style="697" bestFit="1" customWidth="1"/>
    <col min="6" max="6" width="6.5703125" style="697" bestFit="1" customWidth="1"/>
    <col min="7" max="7" width="2.28515625" style="697" bestFit="1" customWidth="1"/>
    <col min="8" max="8" width="6.5703125" style="697" bestFit="1" customWidth="1"/>
    <col min="9" max="9" width="2.28515625" style="697" bestFit="1" customWidth="1"/>
    <col min="10" max="10" width="6.28515625" style="697" bestFit="1" customWidth="1"/>
    <col min="11" max="11" width="2.28515625" style="697" bestFit="1" customWidth="1"/>
    <col min="12" max="12" width="6.28515625" style="697" bestFit="1" customWidth="1"/>
    <col min="13" max="13" width="2.5703125" style="697" bestFit="1" customWidth="1"/>
    <col min="14" max="14" width="6.5703125" style="697" bestFit="1" customWidth="1"/>
    <col min="15" max="15" width="2.42578125" style="697" bestFit="1" customWidth="1"/>
    <col min="16" max="16" width="6.5703125" style="697" bestFit="1" customWidth="1"/>
    <col min="17" max="17" width="3.42578125" style="697" customWidth="1"/>
    <col min="18" max="18" width="9.5703125" style="697" customWidth="1"/>
    <col min="19" max="19" width="3.140625" style="697" customWidth="1"/>
    <col min="20" max="20" width="8.5703125" style="697" customWidth="1"/>
    <col min="21" max="21" width="3.42578125" style="697" customWidth="1"/>
    <col min="22" max="22" width="6.85546875" style="697" customWidth="1"/>
    <col min="23" max="23" width="3.140625" style="697" customWidth="1"/>
    <col min="24" max="24" width="7.85546875" style="697" customWidth="1"/>
    <col min="25" max="25" width="3.140625" style="697" customWidth="1"/>
    <col min="26" max="26" width="9.28515625" style="697" customWidth="1"/>
    <col min="27" max="27" width="3.42578125" style="697" customWidth="1"/>
    <col min="28" max="28" width="8.85546875" style="697" customWidth="1"/>
    <col min="29" max="29" width="3.42578125" style="697" customWidth="1"/>
    <col min="30" max="30" width="9.28515625" style="697" customWidth="1"/>
    <col min="31" max="31" width="3.42578125" style="697" customWidth="1"/>
    <col min="32" max="32" width="10.28515625" style="697" customWidth="1"/>
    <col min="33" max="33" width="3.42578125" style="697" customWidth="1"/>
    <col min="34" max="16384" width="9.140625" style="697"/>
  </cols>
  <sheetData>
    <row r="1" spans="1:33" ht="15.75" customHeight="1">
      <c r="A1" s="1096" t="s">
        <v>2269</v>
      </c>
      <c r="B1" s="1097"/>
      <c r="C1" s="1097"/>
      <c r="D1" s="1097"/>
      <c r="E1" s="1097"/>
      <c r="F1" s="1097"/>
      <c r="G1" s="1097"/>
      <c r="H1" s="1097"/>
      <c r="I1" s="1097"/>
      <c r="J1" s="1097"/>
      <c r="K1" s="1097"/>
      <c r="L1" s="1097"/>
      <c r="M1" s="1097"/>
      <c r="N1" s="1097"/>
      <c r="O1" s="1097"/>
      <c r="P1" s="1097"/>
      <c r="Q1" s="1097"/>
      <c r="R1" s="1097"/>
      <c r="S1" s="1097"/>
      <c r="T1" s="1097"/>
      <c r="U1" s="1097"/>
      <c r="V1" s="1097"/>
      <c r="W1" s="1097"/>
      <c r="X1" s="1097"/>
      <c r="Y1" s="1097"/>
      <c r="Z1" s="1097"/>
      <c r="AA1" s="1097"/>
      <c r="AB1" s="1097"/>
      <c r="AC1" s="1097"/>
      <c r="AD1" s="1097"/>
      <c r="AE1" s="1097"/>
      <c r="AF1" s="1097"/>
      <c r="AG1" s="1098"/>
    </row>
    <row r="2" spans="1:33">
      <c r="A2" s="1099" t="s">
        <v>2270</v>
      </c>
      <c r="B2" s="1100"/>
      <c r="C2" s="1100"/>
      <c r="D2" s="1100"/>
      <c r="E2" s="1100"/>
      <c r="F2" s="1100"/>
      <c r="G2" s="1100"/>
      <c r="H2" s="1100"/>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1"/>
    </row>
    <row r="3" spans="1:33">
      <c r="A3" s="1102" t="s">
        <v>2271</v>
      </c>
      <c r="B3" s="1094"/>
      <c r="C3" s="1095"/>
      <c r="D3" s="1105" t="s">
        <v>2272</v>
      </c>
      <c r="E3" s="1106"/>
      <c r="F3" s="1106"/>
      <c r="G3" s="1106"/>
      <c r="H3" s="1106"/>
      <c r="I3" s="1107"/>
      <c r="J3" s="1105" t="s">
        <v>2273</v>
      </c>
      <c r="K3" s="1106"/>
      <c r="L3" s="1106"/>
      <c r="M3" s="1106"/>
      <c r="N3" s="1106"/>
      <c r="O3" s="1106"/>
      <c r="P3" s="1106"/>
      <c r="Q3" s="1106"/>
      <c r="R3" s="1106"/>
      <c r="S3" s="1107"/>
      <c r="T3" s="1105" t="s">
        <v>2274</v>
      </c>
      <c r="U3" s="1106"/>
      <c r="V3" s="1106"/>
      <c r="W3" s="1106"/>
      <c r="X3" s="1106"/>
      <c r="Y3" s="1107"/>
      <c r="Z3" s="1105" t="s">
        <v>2275</v>
      </c>
      <c r="AA3" s="1106"/>
      <c r="AB3" s="1106"/>
      <c r="AC3" s="1106"/>
      <c r="AD3" s="1106"/>
      <c r="AE3" s="1107"/>
      <c r="AF3" s="1105" t="s">
        <v>50</v>
      </c>
      <c r="AG3" s="1107"/>
    </row>
    <row r="4" spans="1:33">
      <c r="A4" s="1103"/>
      <c r="B4" s="1114"/>
      <c r="C4" s="1115"/>
      <c r="D4" s="1108"/>
      <c r="E4" s="1109"/>
      <c r="F4" s="1109"/>
      <c r="G4" s="1109"/>
      <c r="H4" s="1109"/>
      <c r="I4" s="1110"/>
      <c r="J4" s="1108"/>
      <c r="K4" s="1109"/>
      <c r="L4" s="1109"/>
      <c r="M4" s="1109"/>
      <c r="N4" s="1109"/>
      <c r="O4" s="1109"/>
      <c r="P4" s="1109"/>
      <c r="Q4" s="1109"/>
      <c r="R4" s="1109"/>
      <c r="S4" s="1110"/>
      <c r="T4" s="1108"/>
      <c r="U4" s="1109"/>
      <c r="V4" s="1109"/>
      <c r="W4" s="1109"/>
      <c r="X4" s="1109"/>
      <c r="Y4" s="1110"/>
      <c r="Z4" s="1108"/>
      <c r="AA4" s="1109"/>
      <c r="AB4" s="1109"/>
      <c r="AC4" s="1109"/>
      <c r="AD4" s="1109"/>
      <c r="AE4" s="1110"/>
      <c r="AF4" s="1108"/>
      <c r="AG4" s="1110"/>
    </row>
    <row r="5" spans="1:33">
      <c r="A5" s="1103"/>
      <c r="B5" s="1114"/>
      <c r="C5" s="1115"/>
      <c r="D5" s="1111"/>
      <c r="E5" s="1112"/>
      <c r="F5" s="1112"/>
      <c r="G5" s="1112"/>
      <c r="H5" s="1112"/>
      <c r="I5" s="1113"/>
      <c r="J5" s="1111"/>
      <c r="K5" s="1112"/>
      <c r="L5" s="1112"/>
      <c r="M5" s="1112"/>
      <c r="N5" s="1112"/>
      <c r="O5" s="1112"/>
      <c r="P5" s="1112"/>
      <c r="Q5" s="1112"/>
      <c r="R5" s="1112"/>
      <c r="S5" s="1113"/>
      <c r="T5" s="1111"/>
      <c r="U5" s="1112"/>
      <c r="V5" s="1112"/>
      <c r="W5" s="1112"/>
      <c r="X5" s="1112"/>
      <c r="Y5" s="1113"/>
      <c r="Z5" s="1111"/>
      <c r="AA5" s="1112"/>
      <c r="AB5" s="1112"/>
      <c r="AC5" s="1112"/>
      <c r="AD5" s="1112"/>
      <c r="AE5" s="1113"/>
      <c r="AF5" s="1108"/>
      <c r="AG5" s="1110"/>
    </row>
    <row r="6" spans="1:33">
      <c r="A6" s="1103"/>
      <c r="B6" s="1108" t="s">
        <v>55</v>
      </c>
      <c r="C6" s="1110"/>
      <c r="D6" s="1105" t="s">
        <v>2276</v>
      </c>
      <c r="E6" s="1107"/>
      <c r="F6" s="1105" t="s">
        <v>2277</v>
      </c>
      <c r="G6" s="1107"/>
      <c r="H6" s="1105" t="s">
        <v>50</v>
      </c>
      <c r="I6" s="1107"/>
      <c r="J6" s="1094"/>
      <c r="K6" s="1095"/>
      <c r="L6" s="1105" t="s">
        <v>2278</v>
      </c>
      <c r="M6" s="1106"/>
      <c r="N6" s="1106"/>
      <c r="O6" s="1106"/>
      <c r="P6" s="1106"/>
      <c r="Q6" s="1107"/>
      <c r="R6" s="1105" t="s">
        <v>50</v>
      </c>
      <c r="S6" s="1107"/>
      <c r="T6" s="1105" t="s">
        <v>2279</v>
      </c>
      <c r="U6" s="1107"/>
      <c r="V6" s="1094"/>
      <c r="W6" s="1095"/>
      <c r="X6" s="1105" t="s">
        <v>50</v>
      </c>
      <c r="Y6" s="1107"/>
      <c r="Z6" s="1094"/>
      <c r="AA6" s="1095"/>
      <c r="AB6" s="1105" t="s">
        <v>2280</v>
      </c>
      <c r="AC6" s="1107"/>
      <c r="AD6" s="1105" t="s">
        <v>50</v>
      </c>
      <c r="AE6" s="1107"/>
      <c r="AF6" s="1108"/>
      <c r="AG6" s="1110"/>
    </row>
    <row r="7" spans="1:33">
      <c r="A7" s="1103"/>
      <c r="B7" s="1108" t="s">
        <v>54</v>
      </c>
      <c r="C7" s="1110"/>
      <c r="D7" s="1108"/>
      <c r="E7" s="1110"/>
      <c r="F7" s="1108"/>
      <c r="G7" s="1110"/>
      <c r="H7" s="1108"/>
      <c r="I7" s="1110"/>
      <c r="J7" s="1108" t="s">
        <v>2281</v>
      </c>
      <c r="K7" s="1110"/>
      <c r="L7" s="1111"/>
      <c r="M7" s="1112"/>
      <c r="N7" s="1112"/>
      <c r="O7" s="1112"/>
      <c r="P7" s="1112"/>
      <c r="Q7" s="1113"/>
      <c r="R7" s="1108"/>
      <c r="S7" s="1110"/>
      <c r="T7" s="1108" t="s">
        <v>2282</v>
      </c>
      <c r="U7" s="1110"/>
      <c r="V7" s="1108" t="s">
        <v>2283</v>
      </c>
      <c r="W7" s="1110"/>
      <c r="X7" s="1108"/>
      <c r="Y7" s="1110"/>
      <c r="Z7" s="1108" t="s">
        <v>588</v>
      </c>
      <c r="AA7" s="1110"/>
      <c r="AB7" s="1108"/>
      <c r="AC7" s="1110"/>
      <c r="AD7" s="1108"/>
      <c r="AE7" s="1110"/>
      <c r="AF7" s="1108"/>
      <c r="AG7" s="1110"/>
    </row>
    <row r="8" spans="1:33">
      <c r="A8" s="1104"/>
      <c r="B8" s="1111"/>
      <c r="C8" s="1113"/>
      <c r="D8" s="1111"/>
      <c r="E8" s="1113"/>
      <c r="F8" s="1111"/>
      <c r="G8" s="1113"/>
      <c r="H8" s="1111"/>
      <c r="I8" s="1113"/>
      <c r="J8" s="1111" t="s">
        <v>2284</v>
      </c>
      <c r="K8" s="1113"/>
      <c r="L8" s="1123" t="s">
        <v>2285</v>
      </c>
      <c r="M8" s="1124"/>
      <c r="N8" s="1123" t="s">
        <v>2286</v>
      </c>
      <c r="O8" s="1124"/>
      <c r="P8" s="1123" t="s">
        <v>50</v>
      </c>
      <c r="Q8" s="1124"/>
      <c r="R8" s="1111"/>
      <c r="S8" s="1113"/>
      <c r="T8" s="1111" t="s">
        <v>2287</v>
      </c>
      <c r="U8" s="1113"/>
      <c r="V8" s="1111" t="s">
        <v>2288</v>
      </c>
      <c r="W8" s="1113"/>
      <c r="X8" s="1111"/>
      <c r="Y8" s="1113"/>
      <c r="Z8" s="1111" t="s">
        <v>2289</v>
      </c>
      <c r="AA8" s="1113"/>
      <c r="AB8" s="1111"/>
      <c r="AC8" s="1113"/>
      <c r="AD8" s="1111"/>
      <c r="AE8" s="1113"/>
      <c r="AF8" s="1111"/>
      <c r="AG8" s="1113"/>
    </row>
    <row r="9" spans="1:33">
      <c r="A9" s="919">
        <v>1949</v>
      </c>
      <c r="B9" s="920">
        <v>992544</v>
      </c>
      <c r="C9" s="921"/>
      <c r="D9" s="922"/>
      <c r="E9" s="923" t="s">
        <v>2290</v>
      </c>
      <c r="F9" s="920">
        <v>347818</v>
      </c>
      <c r="G9" s="921"/>
      <c r="H9" s="920">
        <v>347818</v>
      </c>
      <c r="I9" s="921"/>
      <c r="J9" s="920">
        <v>835297</v>
      </c>
      <c r="K9" s="921"/>
      <c r="L9" s="922"/>
      <c r="M9" s="923" t="s">
        <v>2291</v>
      </c>
      <c r="N9" s="920">
        <v>2245372</v>
      </c>
      <c r="O9" s="921"/>
      <c r="P9" s="920">
        <v>2245372</v>
      </c>
      <c r="Q9" s="921"/>
      <c r="R9" s="920">
        <v>3080669</v>
      </c>
      <c r="S9" s="921"/>
      <c r="T9" s="924" t="s">
        <v>2292</v>
      </c>
      <c r="U9" s="921"/>
      <c r="V9" s="924" t="s">
        <v>2292</v>
      </c>
      <c r="W9" s="921"/>
      <c r="X9" s="924" t="s">
        <v>2292</v>
      </c>
      <c r="Y9" s="921"/>
      <c r="Z9" s="920">
        <v>550121</v>
      </c>
      <c r="AA9" s="921"/>
      <c r="AB9" s="924" t="s">
        <v>2292</v>
      </c>
      <c r="AC9" s="921"/>
      <c r="AD9" s="920">
        <v>550121</v>
      </c>
      <c r="AE9" s="921"/>
      <c r="AF9" s="920">
        <v>4971152</v>
      </c>
      <c r="AG9" s="921"/>
    </row>
    <row r="10" spans="1:33">
      <c r="A10" s="919">
        <v>1950</v>
      </c>
      <c r="B10" s="920">
        <v>1198369</v>
      </c>
      <c r="C10" s="921"/>
      <c r="D10" s="922"/>
      <c r="E10" s="923" t="s">
        <v>2290</v>
      </c>
      <c r="F10" s="920">
        <v>387838</v>
      </c>
      <c r="G10" s="921"/>
      <c r="H10" s="920">
        <v>387838</v>
      </c>
      <c r="I10" s="921"/>
      <c r="J10" s="920">
        <v>927611</v>
      </c>
      <c r="K10" s="921"/>
      <c r="L10" s="922"/>
      <c r="M10" s="923" t="s">
        <v>2291</v>
      </c>
      <c r="N10" s="920">
        <v>2498259</v>
      </c>
      <c r="O10" s="921"/>
      <c r="P10" s="920">
        <v>2498259</v>
      </c>
      <c r="Q10" s="921"/>
      <c r="R10" s="920">
        <v>3425870</v>
      </c>
      <c r="S10" s="921"/>
      <c r="T10" s="920">
        <v>125546</v>
      </c>
      <c r="U10" s="921"/>
      <c r="V10" s="924" t="s">
        <v>2292</v>
      </c>
      <c r="W10" s="921"/>
      <c r="X10" s="920">
        <v>125546</v>
      </c>
      <c r="Y10" s="921"/>
      <c r="Z10" s="920">
        <v>628919</v>
      </c>
      <c r="AA10" s="921"/>
      <c r="AB10" s="924" t="s">
        <v>2292</v>
      </c>
      <c r="AC10" s="921"/>
      <c r="AD10" s="920">
        <v>628919</v>
      </c>
      <c r="AE10" s="921"/>
      <c r="AF10" s="920">
        <v>5766542</v>
      </c>
      <c r="AG10" s="921"/>
    </row>
    <row r="11" spans="1:33">
      <c r="A11" s="925">
        <v>1951</v>
      </c>
      <c r="B11" s="926">
        <v>1474725</v>
      </c>
      <c r="C11" s="927"/>
      <c r="D11" s="928"/>
      <c r="E11" s="929" t="s">
        <v>2290</v>
      </c>
      <c r="F11" s="926">
        <v>464309</v>
      </c>
      <c r="G11" s="927"/>
      <c r="H11" s="926">
        <v>464309</v>
      </c>
      <c r="I11" s="927"/>
      <c r="J11" s="926">
        <v>1149470</v>
      </c>
      <c r="K11" s="927"/>
      <c r="L11" s="928"/>
      <c r="M11" s="929" t="s">
        <v>2291</v>
      </c>
      <c r="N11" s="926">
        <v>2765264</v>
      </c>
      <c r="O11" s="927"/>
      <c r="P11" s="926">
        <v>2765264</v>
      </c>
      <c r="Q11" s="927"/>
      <c r="R11" s="926">
        <v>3914734</v>
      </c>
      <c r="S11" s="927"/>
      <c r="T11" s="926">
        <v>192496</v>
      </c>
      <c r="U11" s="927"/>
      <c r="V11" s="930" t="s">
        <v>2292</v>
      </c>
      <c r="W11" s="927"/>
      <c r="X11" s="926">
        <v>192496</v>
      </c>
      <c r="Y11" s="927"/>
      <c r="Z11" s="926">
        <v>763898</v>
      </c>
      <c r="AA11" s="927"/>
      <c r="AB11" s="930" t="s">
        <v>2292</v>
      </c>
      <c r="AC11" s="927"/>
      <c r="AD11" s="926">
        <v>763898</v>
      </c>
      <c r="AE11" s="927"/>
      <c r="AF11" s="926">
        <v>6810162</v>
      </c>
      <c r="AG11" s="927"/>
    </row>
    <row r="12" spans="1:33">
      <c r="A12" s="919">
        <v>1952</v>
      </c>
      <c r="B12" s="920">
        <v>1621966</v>
      </c>
      <c r="C12" s="921"/>
      <c r="D12" s="922"/>
      <c r="E12" s="923" t="s">
        <v>2290</v>
      </c>
      <c r="F12" s="920">
        <v>515669</v>
      </c>
      <c r="G12" s="921"/>
      <c r="H12" s="920">
        <v>515669</v>
      </c>
      <c r="I12" s="921"/>
      <c r="J12" s="920">
        <v>1164596</v>
      </c>
      <c r="K12" s="921"/>
      <c r="L12" s="922"/>
      <c r="M12" s="923" t="s">
        <v>2291</v>
      </c>
      <c r="N12" s="920">
        <v>2874765</v>
      </c>
      <c r="O12" s="921"/>
      <c r="P12" s="920">
        <v>2874765</v>
      </c>
      <c r="Q12" s="921"/>
      <c r="R12" s="920">
        <v>4039361</v>
      </c>
      <c r="S12" s="921"/>
      <c r="T12" s="920">
        <v>207207</v>
      </c>
      <c r="U12" s="921"/>
      <c r="V12" s="924" t="s">
        <v>2292</v>
      </c>
      <c r="W12" s="921"/>
      <c r="X12" s="920">
        <v>207207</v>
      </c>
      <c r="Y12" s="921"/>
      <c r="Z12" s="920">
        <v>910117</v>
      </c>
      <c r="AA12" s="921"/>
      <c r="AB12" s="924" t="s">
        <v>2292</v>
      </c>
      <c r="AC12" s="921"/>
      <c r="AD12" s="920">
        <v>910117</v>
      </c>
      <c r="AE12" s="921"/>
      <c r="AF12" s="920">
        <v>7294320</v>
      </c>
      <c r="AG12" s="921"/>
    </row>
    <row r="13" spans="1:33">
      <c r="A13" s="919">
        <v>1953</v>
      </c>
      <c r="B13" s="920">
        <v>1685503</v>
      </c>
      <c r="C13" s="921"/>
      <c r="D13" s="922"/>
      <c r="E13" s="923" t="s">
        <v>2290</v>
      </c>
      <c r="F13" s="920">
        <v>530650</v>
      </c>
      <c r="G13" s="921"/>
      <c r="H13" s="920">
        <v>530650</v>
      </c>
      <c r="I13" s="921"/>
      <c r="J13" s="920">
        <v>1131017</v>
      </c>
      <c r="K13" s="921"/>
      <c r="L13" s="922"/>
      <c r="M13" s="923" t="s">
        <v>2291</v>
      </c>
      <c r="N13" s="920">
        <v>3027514</v>
      </c>
      <c r="O13" s="921"/>
      <c r="P13" s="920">
        <v>3027514</v>
      </c>
      <c r="Q13" s="921"/>
      <c r="R13" s="920">
        <v>4158531</v>
      </c>
      <c r="S13" s="921"/>
      <c r="T13" s="920">
        <v>230314</v>
      </c>
      <c r="U13" s="921"/>
      <c r="V13" s="924" t="s">
        <v>2292</v>
      </c>
      <c r="W13" s="921"/>
      <c r="X13" s="920">
        <v>230314</v>
      </c>
      <c r="Y13" s="921"/>
      <c r="Z13" s="920">
        <v>1034272</v>
      </c>
      <c r="AA13" s="921"/>
      <c r="AB13" s="924" t="s">
        <v>2292</v>
      </c>
      <c r="AC13" s="921"/>
      <c r="AD13" s="920">
        <v>1034272</v>
      </c>
      <c r="AE13" s="921"/>
      <c r="AF13" s="920">
        <v>7639270</v>
      </c>
      <c r="AG13" s="921"/>
    </row>
    <row r="14" spans="1:33">
      <c r="A14" s="925">
        <v>1954</v>
      </c>
      <c r="B14" s="926">
        <v>1894248</v>
      </c>
      <c r="C14" s="927"/>
      <c r="D14" s="928"/>
      <c r="E14" s="929" t="s">
        <v>2290</v>
      </c>
      <c r="F14" s="926">
        <v>584957</v>
      </c>
      <c r="G14" s="927"/>
      <c r="H14" s="926">
        <v>584957</v>
      </c>
      <c r="I14" s="927"/>
      <c r="J14" s="926">
        <v>1102535</v>
      </c>
      <c r="K14" s="927"/>
      <c r="L14" s="928"/>
      <c r="M14" s="929" t="s">
        <v>2291</v>
      </c>
      <c r="N14" s="926">
        <v>3070651</v>
      </c>
      <c r="O14" s="927"/>
      <c r="P14" s="926">
        <v>3070651</v>
      </c>
      <c r="Q14" s="927"/>
      <c r="R14" s="926">
        <v>4173186</v>
      </c>
      <c r="S14" s="927"/>
      <c r="T14" s="926">
        <v>230615</v>
      </c>
      <c r="U14" s="927"/>
      <c r="V14" s="930" t="s">
        <v>2292</v>
      </c>
      <c r="W14" s="927"/>
      <c r="X14" s="926">
        <v>230615</v>
      </c>
      <c r="Y14" s="927"/>
      <c r="Z14" s="926">
        <v>1165498</v>
      </c>
      <c r="AA14" s="927"/>
      <c r="AB14" s="930" t="s">
        <v>2292</v>
      </c>
      <c r="AC14" s="927"/>
      <c r="AD14" s="926">
        <v>1165498</v>
      </c>
      <c r="AE14" s="927"/>
      <c r="AF14" s="926">
        <v>8048504</v>
      </c>
      <c r="AG14" s="927"/>
    </row>
    <row r="15" spans="1:33">
      <c r="A15" s="919">
        <v>1955</v>
      </c>
      <c r="B15" s="920">
        <v>2123952</v>
      </c>
      <c r="C15" s="921"/>
      <c r="D15" s="922"/>
      <c r="E15" s="923" t="s">
        <v>2290</v>
      </c>
      <c r="F15" s="920">
        <v>629219</v>
      </c>
      <c r="G15" s="921"/>
      <c r="H15" s="920">
        <v>629219</v>
      </c>
      <c r="I15" s="921"/>
      <c r="J15" s="920">
        <v>1130985</v>
      </c>
      <c r="K15" s="921"/>
      <c r="L15" s="922"/>
      <c r="M15" s="923" t="s">
        <v>2291</v>
      </c>
      <c r="N15" s="920">
        <v>3410975</v>
      </c>
      <c r="O15" s="921"/>
      <c r="P15" s="920">
        <v>3410975</v>
      </c>
      <c r="Q15" s="921"/>
      <c r="R15" s="920">
        <v>4541960</v>
      </c>
      <c r="S15" s="921"/>
      <c r="T15" s="920">
        <v>245246</v>
      </c>
      <c r="U15" s="921"/>
      <c r="V15" s="924" t="s">
        <v>2292</v>
      </c>
      <c r="W15" s="921"/>
      <c r="X15" s="920">
        <v>245246</v>
      </c>
      <c r="Y15" s="921"/>
      <c r="Z15" s="920">
        <v>1153280</v>
      </c>
      <c r="AA15" s="921"/>
      <c r="AB15" s="924" t="s">
        <v>2292</v>
      </c>
      <c r="AC15" s="921"/>
      <c r="AD15" s="920">
        <v>1153280</v>
      </c>
      <c r="AE15" s="921"/>
      <c r="AF15" s="920">
        <v>8693657</v>
      </c>
      <c r="AG15" s="921"/>
    </row>
    <row r="16" spans="1:33">
      <c r="A16" s="919">
        <v>1956</v>
      </c>
      <c r="B16" s="920">
        <v>2327564</v>
      </c>
      <c r="C16" s="921"/>
      <c r="D16" s="922"/>
      <c r="E16" s="923" t="s">
        <v>2290</v>
      </c>
      <c r="F16" s="920">
        <v>716871</v>
      </c>
      <c r="G16" s="921"/>
      <c r="H16" s="920">
        <v>716871</v>
      </c>
      <c r="I16" s="921"/>
      <c r="J16" s="920">
        <v>1002537</v>
      </c>
      <c r="K16" s="921"/>
      <c r="L16" s="922"/>
      <c r="M16" s="923" t="s">
        <v>2291</v>
      </c>
      <c r="N16" s="920">
        <v>3706610</v>
      </c>
      <c r="O16" s="921"/>
      <c r="P16" s="920">
        <v>3706610</v>
      </c>
      <c r="Q16" s="921"/>
      <c r="R16" s="920">
        <v>4709147</v>
      </c>
      <c r="S16" s="921"/>
      <c r="T16" s="920">
        <v>295972</v>
      </c>
      <c r="U16" s="921"/>
      <c r="V16" s="924" t="s">
        <v>2292</v>
      </c>
      <c r="W16" s="921"/>
      <c r="X16" s="920">
        <v>295972</v>
      </c>
      <c r="Y16" s="921"/>
      <c r="Z16" s="920">
        <v>1239311</v>
      </c>
      <c r="AA16" s="921"/>
      <c r="AB16" s="924" t="s">
        <v>2292</v>
      </c>
      <c r="AC16" s="921"/>
      <c r="AD16" s="920">
        <v>1239311</v>
      </c>
      <c r="AE16" s="921"/>
      <c r="AF16" s="920">
        <v>9288865</v>
      </c>
      <c r="AG16" s="921"/>
    </row>
    <row r="17" spans="1:33">
      <c r="A17" s="925">
        <v>1957</v>
      </c>
      <c r="B17" s="926">
        <v>2500269</v>
      </c>
      <c r="C17" s="927"/>
      <c r="D17" s="928"/>
      <c r="E17" s="929" t="s">
        <v>2290</v>
      </c>
      <c r="F17" s="926">
        <v>775916</v>
      </c>
      <c r="G17" s="927"/>
      <c r="H17" s="926">
        <v>775916</v>
      </c>
      <c r="I17" s="927"/>
      <c r="J17" s="926">
        <v>1046084</v>
      </c>
      <c r="K17" s="927"/>
      <c r="L17" s="928"/>
      <c r="M17" s="929" t="s">
        <v>2291</v>
      </c>
      <c r="N17" s="926">
        <v>3888494</v>
      </c>
      <c r="O17" s="927"/>
      <c r="P17" s="926">
        <v>3888494</v>
      </c>
      <c r="Q17" s="927"/>
      <c r="R17" s="926">
        <v>4934578</v>
      </c>
      <c r="S17" s="927"/>
      <c r="T17" s="926">
        <v>299235</v>
      </c>
      <c r="U17" s="927"/>
      <c r="V17" s="930" t="s">
        <v>2292</v>
      </c>
      <c r="W17" s="927"/>
      <c r="X17" s="926">
        <v>299235</v>
      </c>
      <c r="Y17" s="927"/>
      <c r="Z17" s="926">
        <v>1336141</v>
      </c>
      <c r="AA17" s="927"/>
      <c r="AB17" s="930" t="s">
        <v>2292</v>
      </c>
      <c r="AC17" s="927"/>
      <c r="AD17" s="926">
        <v>1336141</v>
      </c>
      <c r="AE17" s="927"/>
      <c r="AF17" s="926">
        <v>9846139</v>
      </c>
      <c r="AG17" s="927"/>
    </row>
    <row r="18" spans="1:33">
      <c r="A18" s="919">
        <v>1958</v>
      </c>
      <c r="B18" s="920">
        <v>2714251</v>
      </c>
      <c r="C18" s="921"/>
      <c r="D18" s="922"/>
      <c r="E18" s="923" t="s">
        <v>2290</v>
      </c>
      <c r="F18" s="920">
        <v>871774</v>
      </c>
      <c r="G18" s="921"/>
      <c r="H18" s="920">
        <v>871774</v>
      </c>
      <c r="I18" s="921"/>
      <c r="J18" s="920">
        <v>1146064</v>
      </c>
      <c r="K18" s="921"/>
      <c r="L18" s="922"/>
      <c r="M18" s="923" t="s">
        <v>2291</v>
      </c>
      <c r="N18" s="920">
        <v>3885445</v>
      </c>
      <c r="O18" s="921"/>
      <c r="P18" s="920">
        <v>3885445</v>
      </c>
      <c r="Q18" s="921"/>
      <c r="R18" s="920">
        <v>5031509</v>
      </c>
      <c r="S18" s="921"/>
      <c r="T18" s="920">
        <v>312221</v>
      </c>
      <c r="U18" s="921"/>
      <c r="V18" s="924" t="s">
        <v>2292</v>
      </c>
      <c r="W18" s="921"/>
      <c r="X18" s="920">
        <v>312221</v>
      </c>
      <c r="Y18" s="921"/>
      <c r="Z18" s="920">
        <v>1372853</v>
      </c>
      <c r="AA18" s="921"/>
      <c r="AB18" s="924" t="s">
        <v>2292</v>
      </c>
      <c r="AC18" s="921"/>
      <c r="AD18" s="920">
        <v>1372853</v>
      </c>
      <c r="AE18" s="921"/>
      <c r="AF18" s="920">
        <v>10302608</v>
      </c>
      <c r="AG18" s="921"/>
    </row>
    <row r="19" spans="1:33">
      <c r="A19" s="919">
        <v>1959</v>
      </c>
      <c r="B19" s="920">
        <v>2912601</v>
      </c>
      <c r="C19" s="921"/>
      <c r="D19" s="922"/>
      <c r="E19" s="923" t="s">
        <v>2290</v>
      </c>
      <c r="F19" s="920">
        <v>975107</v>
      </c>
      <c r="G19" s="921"/>
      <c r="H19" s="920">
        <v>975107</v>
      </c>
      <c r="I19" s="921"/>
      <c r="J19" s="920">
        <v>1238945</v>
      </c>
      <c r="K19" s="921"/>
      <c r="L19" s="922"/>
      <c r="M19" s="923" t="s">
        <v>2291</v>
      </c>
      <c r="N19" s="920">
        <v>4216671</v>
      </c>
      <c r="O19" s="921"/>
      <c r="P19" s="920">
        <v>4216671</v>
      </c>
      <c r="Q19" s="921"/>
      <c r="R19" s="920">
        <v>5455616</v>
      </c>
      <c r="S19" s="921"/>
      <c r="T19" s="920">
        <v>349348</v>
      </c>
      <c r="U19" s="921"/>
      <c r="V19" s="924" t="s">
        <v>2292</v>
      </c>
      <c r="W19" s="921"/>
      <c r="X19" s="920">
        <v>349348</v>
      </c>
      <c r="Y19" s="921"/>
      <c r="Z19" s="920">
        <v>1628509</v>
      </c>
      <c r="AA19" s="921"/>
      <c r="AB19" s="924" t="s">
        <v>2292</v>
      </c>
      <c r="AC19" s="921"/>
      <c r="AD19" s="920">
        <v>1628509</v>
      </c>
      <c r="AE19" s="921"/>
      <c r="AF19" s="920">
        <v>11321181</v>
      </c>
      <c r="AG19" s="921"/>
    </row>
    <row r="20" spans="1:33">
      <c r="A20" s="925">
        <v>1960</v>
      </c>
      <c r="B20" s="926">
        <v>3103167</v>
      </c>
      <c r="C20" s="927"/>
      <c r="D20" s="928"/>
      <c r="E20" s="929" t="s">
        <v>2290</v>
      </c>
      <c r="F20" s="926">
        <v>1020222</v>
      </c>
      <c r="G20" s="927"/>
      <c r="H20" s="926">
        <v>1020222</v>
      </c>
      <c r="I20" s="927"/>
      <c r="J20" s="926">
        <v>1236781</v>
      </c>
      <c r="K20" s="927"/>
      <c r="L20" s="928"/>
      <c r="M20" s="929" t="s">
        <v>2291</v>
      </c>
      <c r="N20" s="926">
        <v>4534530</v>
      </c>
      <c r="O20" s="927"/>
      <c r="P20" s="926">
        <v>4534530</v>
      </c>
      <c r="Q20" s="927"/>
      <c r="R20" s="926">
        <v>5771311</v>
      </c>
      <c r="S20" s="927"/>
      <c r="T20" s="926">
        <v>347075</v>
      </c>
      <c r="U20" s="927"/>
      <c r="V20" s="930" t="s">
        <v>2292</v>
      </c>
      <c r="W20" s="927"/>
      <c r="X20" s="926">
        <v>347075</v>
      </c>
      <c r="Y20" s="927"/>
      <c r="Z20" s="926">
        <v>1724762</v>
      </c>
      <c r="AA20" s="927"/>
      <c r="AB20" s="930" t="s">
        <v>2292</v>
      </c>
      <c r="AC20" s="927"/>
      <c r="AD20" s="926">
        <v>1724762</v>
      </c>
      <c r="AE20" s="927"/>
      <c r="AF20" s="926">
        <v>11966537</v>
      </c>
      <c r="AG20" s="927"/>
    </row>
    <row r="21" spans="1:33">
      <c r="A21" s="919">
        <v>1961</v>
      </c>
      <c r="B21" s="920">
        <v>3248578</v>
      </c>
      <c r="C21" s="921"/>
      <c r="D21" s="922"/>
      <c r="E21" s="923" t="s">
        <v>2290</v>
      </c>
      <c r="F21" s="920">
        <v>1076849</v>
      </c>
      <c r="G21" s="921"/>
      <c r="H21" s="920">
        <v>1076849</v>
      </c>
      <c r="I21" s="921"/>
      <c r="J21" s="920">
        <v>1288762</v>
      </c>
      <c r="K21" s="921"/>
      <c r="L21" s="922"/>
      <c r="M21" s="923" t="s">
        <v>2291</v>
      </c>
      <c r="N21" s="920">
        <v>4672355</v>
      </c>
      <c r="O21" s="921"/>
      <c r="P21" s="920">
        <v>4672355</v>
      </c>
      <c r="Q21" s="921"/>
      <c r="R21" s="920">
        <v>5961117</v>
      </c>
      <c r="S21" s="921"/>
      <c r="T21" s="920">
        <v>377607</v>
      </c>
      <c r="U21" s="921"/>
      <c r="V21" s="924" t="s">
        <v>2292</v>
      </c>
      <c r="W21" s="921"/>
      <c r="X21" s="920">
        <v>377607</v>
      </c>
      <c r="Y21" s="921"/>
      <c r="Z21" s="920">
        <v>1825117</v>
      </c>
      <c r="AA21" s="921"/>
      <c r="AB21" s="924" t="s">
        <v>2292</v>
      </c>
      <c r="AC21" s="921"/>
      <c r="AD21" s="920">
        <v>1825117</v>
      </c>
      <c r="AE21" s="921"/>
      <c r="AF21" s="920">
        <v>12489268</v>
      </c>
      <c r="AG21" s="921"/>
    </row>
    <row r="22" spans="1:33">
      <c r="A22" s="919">
        <v>1962</v>
      </c>
      <c r="B22" s="920">
        <v>3478563</v>
      </c>
      <c r="C22" s="921"/>
      <c r="D22" s="922"/>
      <c r="E22" s="923" t="s">
        <v>2290</v>
      </c>
      <c r="F22" s="920">
        <v>1206668</v>
      </c>
      <c r="G22" s="921"/>
      <c r="H22" s="920">
        <v>1206668</v>
      </c>
      <c r="I22" s="921"/>
      <c r="J22" s="920">
        <v>1369512</v>
      </c>
      <c r="K22" s="921"/>
      <c r="L22" s="922"/>
      <c r="M22" s="923" t="s">
        <v>2291</v>
      </c>
      <c r="N22" s="920">
        <v>4863300</v>
      </c>
      <c r="O22" s="921"/>
      <c r="P22" s="920">
        <v>4863300</v>
      </c>
      <c r="Q22" s="921"/>
      <c r="R22" s="920">
        <v>6232812</v>
      </c>
      <c r="S22" s="921"/>
      <c r="T22" s="920">
        <v>382496</v>
      </c>
      <c r="U22" s="921"/>
      <c r="V22" s="924" t="s">
        <v>2292</v>
      </c>
      <c r="W22" s="921"/>
      <c r="X22" s="920">
        <v>382496</v>
      </c>
      <c r="Y22" s="921"/>
      <c r="Z22" s="920">
        <v>1965974</v>
      </c>
      <c r="AA22" s="921"/>
      <c r="AB22" s="924" t="s">
        <v>2292</v>
      </c>
      <c r="AC22" s="921"/>
      <c r="AD22" s="920">
        <v>1965974</v>
      </c>
      <c r="AE22" s="921"/>
      <c r="AF22" s="920">
        <v>13266513</v>
      </c>
      <c r="AG22" s="921"/>
    </row>
    <row r="23" spans="1:33">
      <c r="A23" s="925">
        <v>1963</v>
      </c>
      <c r="B23" s="926">
        <v>3589021</v>
      </c>
      <c r="C23" s="927"/>
      <c r="D23" s="928"/>
      <c r="E23" s="929" t="s">
        <v>2290</v>
      </c>
      <c r="F23" s="926">
        <v>1267783</v>
      </c>
      <c r="G23" s="927"/>
      <c r="H23" s="926">
        <v>1267783</v>
      </c>
      <c r="I23" s="927"/>
      <c r="J23" s="926">
        <v>1411088</v>
      </c>
      <c r="K23" s="927"/>
      <c r="L23" s="928"/>
      <c r="M23" s="929" t="s">
        <v>2291</v>
      </c>
      <c r="N23" s="926">
        <v>5134081</v>
      </c>
      <c r="O23" s="927"/>
      <c r="P23" s="926">
        <v>5134081</v>
      </c>
      <c r="Q23" s="927"/>
      <c r="R23" s="926">
        <v>6545169</v>
      </c>
      <c r="S23" s="927"/>
      <c r="T23" s="926">
        <v>423783</v>
      </c>
      <c r="U23" s="927"/>
      <c r="V23" s="930" t="s">
        <v>2292</v>
      </c>
      <c r="W23" s="927"/>
      <c r="X23" s="926">
        <v>423783</v>
      </c>
      <c r="Y23" s="927"/>
      <c r="Z23" s="926">
        <v>2144473</v>
      </c>
      <c r="AA23" s="927"/>
      <c r="AB23" s="930" t="s">
        <v>2292</v>
      </c>
      <c r="AC23" s="927"/>
      <c r="AD23" s="926">
        <v>2144473</v>
      </c>
      <c r="AE23" s="927"/>
      <c r="AF23" s="926">
        <v>13970229</v>
      </c>
      <c r="AG23" s="927"/>
    </row>
    <row r="24" spans="1:33">
      <c r="A24" s="919">
        <v>1964</v>
      </c>
      <c r="B24" s="920">
        <v>3787292</v>
      </c>
      <c r="C24" s="921"/>
      <c r="D24" s="922"/>
      <c r="E24" s="923" t="s">
        <v>2290</v>
      </c>
      <c r="F24" s="920">
        <v>1374717</v>
      </c>
      <c r="G24" s="921"/>
      <c r="H24" s="920">
        <v>1374717</v>
      </c>
      <c r="I24" s="921"/>
      <c r="J24" s="920">
        <v>1370835</v>
      </c>
      <c r="K24" s="921"/>
      <c r="L24" s="922"/>
      <c r="M24" s="923" t="s">
        <v>2291</v>
      </c>
      <c r="N24" s="920">
        <v>5522498</v>
      </c>
      <c r="O24" s="921"/>
      <c r="P24" s="920">
        <v>5522498</v>
      </c>
      <c r="Q24" s="921"/>
      <c r="R24" s="920">
        <v>6893333</v>
      </c>
      <c r="S24" s="921"/>
      <c r="T24" s="920">
        <v>435570</v>
      </c>
      <c r="U24" s="921"/>
      <c r="V24" s="924" t="s">
        <v>2292</v>
      </c>
      <c r="W24" s="921"/>
      <c r="X24" s="920">
        <v>435570</v>
      </c>
      <c r="Y24" s="921"/>
      <c r="Z24" s="920">
        <v>2322896</v>
      </c>
      <c r="AA24" s="921"/>
      <c r="AB24" s="924" t="s">
        <v>2292</v>
      </c>
      <c r="AC24" s="921"/>
      <c r="AD24" s="920">
        <v>2322896</v>
      </c>
      <c r="AE24" s="921"/>
      <c r="AF24" s="920">
        <v>14813808</v>
      </c>
      <c r="AG24" s="921"/>
    </row>
    <row r="25" spans="1:33">
      <c r="A25" s="919">
        <v>1965</v>
      </c>
      <c r="B25" s="920">
        <v>3902802</v>
      </c>
      <c r="C25" s="921"/>
      <c r="D25" s="922"/>
      <c r="E25" s="923" t="s">
        <v>2290</v>
      </c>
      <c r="F25" s="920">
        <v>1443648</v>
      </c>
      <c r="G25" s="921"/>
      <c r="H25" s="920">
        <v>1443648</v>
      </c>
      <c r="I25" s="921"/>
      <c r="J25" s="920">
        <v>1156224</v>
      </c>
      <c r="K25" s="921"/>
      <c r="L25" s="922"/>
      <c r="M25" s="923" t="s">
        <v>2291</v>
      </c>
      <c r="N25" s="920">
        <v>5955417</v>
      </c>
      <c r="O25" s="921"/>
      <c r="P25" s="920">
        <v>5955417</v>
      </c>
      <c r="Q25" s="921"/>
      <c r="R25" s="920">
        <v>7111641</v>
      </c>
      <c r="S25" s="921"/>
      <c r="T25" s="920">
        <v>500524</v>
      </c>
      <c r="U25" s="921"/>
      <c r="V25" s="924" t="s">
        <v>2292</v>
      </c>
      <c r="W25" s="921"/>
      <c r="X25" s="920">
        <v>500524</v>
      </c>
      <c r="Y25" s="921"/>
      <c r="Z25" s="920">
        <v>2321101</v>
      </c>
      <c r="AA25" s="921"/>
      <c r="AB25" s="924" t="s">
        <v>2292</v>
      </c>
      <c r="AC25" s="921"/>
      <c r="AD25" s="920">
        <v>2321101</v>
      </c>
      <c r="AE25" s="921"/>
      <c r="AF25" s="920">
        <v>15279716</v>
      </c>
      <c r="AG25" s="921"/>
    </row>
    <row r="26" spans="1:33">
      <c r="A26" s="925">
        <v>1966</v>
      </c>
      <c r="B26" s="926">
        <v>4138259</v>
      </c>
      <c r="C26" s="927"/>
      <c r="D26" s="928"/>
      <c r="E26" s="929" t="s">
        <v>2290</v>
      </c>
      <c r="F26" s="926">
        <v>1622740</v>
      </c>
      <c r="G26" s="927"/>
      <c r="H26" s="926">
        <v>1622740</v>
      </c>
      <c r="I26" s="927"/>
      <c r="J26" s="926">
        <v>1033400</v>
      </c>
      <c r="K26" s="927"/>
      <c r="L26" s="928"/>
      <c r="M26" s="929" t="s">
        <v>2291</v>
      </c>
      <c r="N26" s="926">
        <v>6512702</v>
      </c>
      <c r="O26" s="927"/>
      <c r="P26" s="926">
        <v>6512702</v>
      </c>
      <c r="Q26" s="927"/>
      <c r="R26" s="926">
        <v>7546102</v>
      </c>
      <c r="S26" s="927"/>
      <c r="T26" s="926">
        <v>535353</v>
      </c>
      <c r="U26" s="927"/>
      <c r="V26" s="930" t="s">
        <v>2292</v>
      </c>
      <c r="W26" s="927"/>
      <c r="X26" s="926">
        <v>535353</v>
      </c>
      <c r="Y26" s="927"/>
      <c r="Z26" s="926">
        <v>2609949</v>
      </c>
      <c r="AA26" s="927"/>
      <c r="AB26" s="930" t="s">
        <v>2292</v>
      </c>
      <c r="AC26" s="927"/>
      <c r="AD26" s="926">
        <v>2609949</v>
      </c>
      <c r="AE26" s="927"/>
      <c r="AF26" s="926">
        <v>16452403</v>
      </c>
      <c r="AG26" s="927"/>
    </row>
    <row r="27" spans="1:33">
      <c r="A27" s="919">
        <v>1967</v>
      </c>
      <c r="B27" s="920">
        <v>4313304</v>
      </c>
      <c r="C27" s="921"/>
      <c r="D27" s="922"/>
      <c r="E27" s="923" t="s">
        <v>2290</v>
      </c>
      <c r="F27" s="920">
        <v>1958970</v>
      </c>
      <c r="G27" s="921"/>
      <c r="H27" s="920">
        <v>1958970</v>
      </c>
      <c r="I27" s="921"/>
      <c r="J27" s="920">
        <v>1140966</v>
      </c>
      <c r="K27" s="921"/>
      <c r="L27" s="922"/>
      <c r="M27" s="923" t="s">
        <v>2291</v>
      </c>
      <c r="N27" s="920">
        <v>6653016</v>
      </c>
      <c r="O27" s="921"/>
      <c r="P27" s="920">
        <v>6653016</v>
      </c>
      <c r="Q27" s="921"/>
      <c r="R27" s="920">
        <v>7793982</v>
      </c>
      <c r="S27" s="921"/>
      <c r="T27" s="920">
        <v>575752</v>
      </c>
      <c r="U27" s="921"/>
      <c r="V27" s="924" t="s">
        <v>2292</v>
      </c>
      <c r="W27" s="921"/>
      <c r="X27" s="920">
        <v>575752</v>
      </c>
      <c r="Y27" s="921"/>
      <c r="Z27" s="920">
        <v>2746352</v>
      </c>
      <c r="AA27" s="921"/>
      <c r="AB27" s="924" t="s">
        <v>2292</v>
      </c>
      <c r="AC27" s="921"/>
      <c r="AD27" s="920">
        <v>2746352</v>
      </c>
      <c r="AE27" s="921"/>
      <c r="AF27" s="920">
        <v>17388360</v>
      </c>
      <c r="AG27" s="921"/>
    </row>
    <row r="28" spans="1:33">
      <c r="A28" s="919">
        <v>1968</v>
      </c>
      <c r="B28" s="920">
        <v>4450354</v>
      </c>
      <c r="C28" s="921"/>
      <c r="D28" s="922"/>
      <c r="E28" s="923" t="s">
        <v>2290</v>
      </c>
      <c r="F28" s="920">
        <v>2075736</v>
      </c>
      <c r="G28" s="921"/>
      <c r="H28" s="920">
        <v>2075736</v>
      </c>
      <c r="I28" s="921"/>
      <c r="J28" s="920">
        <v>1237131</v>
      </c>
      <c r="K28" s="921"/>
      <c r="L28" s="922"/>
      <c r="M28" s="923" t="s">
        <v>2291</v>
      </c>
      <c r="N28" s="920">
        <v>7129967</v>
      </c>
      <c r="O28" s="921"/>
      <c r="P28" s="920">
        <v>7129967</v>
      </c>
      <c r="Q28" s="921"/>
      <c r="R28" s="920">
        <v>8367098</v>
      </c>
      <c r="S28" s="921"/>
      <c r="T28" s="920">
        <v>590965</v>
      </c>
      <c r="U28" s="921"/>
      <c r="V28" s="924" t="s">
        <v>2292</v>
      </c>
      <c r="W28" s="921"/>
      <c r="X28" s="920">
        <v>590965</v>
      </c>
      <c r="Y28" s="921"/>
      <c r="Z28" s="920">
        <v>3147909</v>
      </c>
      <c r="AA28" s="921"/>
      <c r="AB28" s="924" t="s">
        <v>2292</v>
      </c>
      <c r="AC28" s="921"/>
      <c r="AD28" s="920">
        <v>3147909</v>
      </c>
      <c r="AE28" s="921"/>
      <c r="AF28" s="920">
        <v>18632062</v>
      </c>
      <c r="AG28" s="921"/>
    </row>
    <row r="29" spans="1:33">
      <c r="A29" s="925">
        <v>1969</v>
      </c>
      <c r="B29" s="926">
        <v>4728281</v>
      </c>
      <c r="C29" s="927"/>
      <c r="D29" s="928"/>
      <c r="E29" s="929" t="s">
        <v>2290</v>
      </c>
      <c r="F29" s="926">
        <v>2253206</v>
      </c>
      <c r="G29" s="927"/>
      <c r="H29" s="926">
        <v>2253206</v>
      </c>
      <c r="I29" s="927"/>
      <c r="J29" s="926">
        <v>1345648</v>
      </c>
      <c r="K29" s="927"/>
      <c r="L29" s="928"/>
      <c r="M29" s="929" t="s">
        <v>2291</v>
      </c>
      <c r="N29" s="926">
        <v>7610501</v>
      </c>
      <c r="O29" s="927"/>
      <c r="P29" s="926">
        <v>7610501</v>
      </c>
      <c r="Q29" s="927"/>
      <c r="R29" s="926">
        <v>8956149</v>
      </c>
      <c r="S29" s="927"/>
      <c r="T29" s="926">
        <v>630962</v>
      </c>
      <c r="U29" s="927"/>
      <c r="V29" s="930" t="s">
        <v>2292</v>
      </c>
      <c r="W29" s="927"/>
      <c r="X29" s="926">
        <v>630962</v>
      </c>
      <c r="Y29" s="927"/>
      <c r="Z29" s="926">
        <v>3487642</v>
      </c>
      <c r="AA29" s="927"/>
      <c r="AB29" s="930" t="s">
        <v>2292</v>
      </c>
      <c r="AC29" s="927"/>
      <c r="AD29" s="926">
        <v>3487642</v>
      </c>
      <c r="AE29" s="927"/>
      <c r="AF29" s="926">
        <v>20056240</v>
      </c>
      <c r="AG29" s="927"/>
    </row>
    <row r="30" spans="1:33">
      <c r="A30" s="919">
        <v>1970</v>
      </c>
      <c r="B30" s="920">
        <v>4837432</v>
      </c>
      <c r="C30" s="921"/>
      <c r="D30" s="922"/>
      <c r="E30" s="923" t="s">
        <v>2290</v>
      </c>
      <c r="F30" s="920">
        <v>2398510</v>
      </c>
      <c r="G30" s="921"/>
      <c r="H30" s="920">
        <v>2398510</v>
      </c>
      <c r="I30" s="921"/>
      <c r="J30" s="920">
        <v>1398758</v>
      </c>
      <c r="K30" s="921"/>
      <c r="L30" s="922"/>
      <c r="M30" s="923" t="s">
        <v>2291</v>
      </c>
      <c r="N30" s="920">
        <v>7850660</v>
      </c>
      <c r="O30" s="921"/>
      <c r="P30" s="920">
        <v>7850660</v>
      </c>
      <c r="Q30" s="921"/>
      <c r="R30" s="920">
        <v>9249418</v>
      </c>
      <c r="S30" s="921"/>
      <c r="T30" s="920">
        <v>722166</v>
      </c>
      <c r="U30" s="921"/>
      <c r="V30" s="924" t="s">
        <v>2292</v>
      </c>
      <c r="W30" s="921"/>
      <c r="X30" s="920">
        <v>722166</v>
      </c>
      <c r="Y30" s="921"/>
      <c r="Z30" s="920">
        <v>3931860</v>
      </c>
      <c r="AA30" s="921"/>
      <c r="AB30" s="924" t="s">
        <v>2292</v>
      </c>
      <c r="AC30" s="921"/>
      <c r="AD30" s="920">
        <v>3931860</v>
      </c>
      <c r="AE30" s="921"/>
      <c r="AF30" s="920">
        <v>21139386</v>
      </c>
      <c r="AG30" s="921"/>
    </row>
    <row r="31" spans="1:33">
      <c r="A31" s="919">
        <v>1971</v>
      </c>
      <c r="B31" s="920">
        <v>4971690</v>
      </c>
      <c r="C31" s="921"/>
      <c r="D31" s="922"/>
      <c r="E31" s="923" t="s">
        <v>2290</v>
      </c>
      <c r="F31" s="920">
        <v>2508977</v>
      </c>
      <c r="G31" s="921"/>
      <c r="H31" s="920">
        <v>2508977</v>
      </c>
      <c r="I31" s="921"/>
      <c r="J31" s="920">
        <v>1413650</v>
      </c>
      <c r="K31" s="921"/>
      <c r="L31" s="922"/>
      <c r="M31" s="923" t="s">
        <v>2291</v>
      </c>
      <c r="N31" s="920">
        <v>8180527</v>
      </c>
      <c r="O31" s="921"/>
      <c r="P31" s="920">
        <v>8180527</v>
      </c>
      <c r="Q31" s="921"/>
      <c r="R31" s="920">
        <v>9594177</v>
      </c>
      <c r="S31" s="921"/>
      <c r="T31" s="920">
        <v>742592</v>
      </c>
      <c r="U31" s="921"/>
      <c r="V31" s="924" t="s">
        <v>2292</v>
      </c>
      <c r="W31" s="921"/>
      <c r="X31" s="920">
        <v>742592</v>
      </c>
      <c r="Y31" s="921"/>
      <c r="Z31" s="920">
        <v>3976018</v>
      </c>
      <c r="AA31" s="921"/>
      <c r="AB31" s="924" t="s">
        <v>2292</v>
      </c>
      <c r="AC31" s="921"/>
      <c r="AD31" s="920">
        <v>3976018</v>
      </c>
      <c r="AE31" s="921"/>
      <c r="AF31" s="920">
        <v>21793454</v>
      </c>
      <c r="AG31" s="921"/>
    </row>
    <row r="32" spans="1:33">
      <c r="A32" s="925">
        <v>1972</v>
      </c>
      <c r="B32" s="926">
        <v>5125982</v>
      </c>
      <c r="C32" s="927"/>
      <c r="D32" s="928"/>
      <c r="E32" s="929" t="s">
        <v>2290</v>
      </c>
      <c r="F32" s="926">
        <v>2607982</v>
      </c>
      <c r="G32" s="927"/>
      <c r="H32" s="926">
        <v>2607982</v>
      </c>
      <c r="I32" s="927"/>
      <c r="J32" s="926">
        <v>1455563</v>
      </c>
      <c r="K32" s="927"/>
      <c r="L32" s="928"/>
      <c r="M32" s="929" t="s">
        <v>2291</v>
      </c>
      <c r="N32" s="926">
        <v>8168855</v>
      </c>
      <c r="O32" s="927"/>
      <c r="P32" s="926">
        <v>8168855</v>
      </c>
      <c r="Q32" s="927"/>
      <c r="R32" s="926">
        <v>9624418</v>
      </c>
      <c r="S32" s="927"/>
      <c r="T32" s="926">
        <v>766156</v>
      </c>
      <c r="U32" s="927"/>
      <c r="V32" s="930" t="s">
        <v>2292</v>
      </c>
      <c r="W32" s="927"/>
      <c r="X32" s="926">
        <v>766156</v>
      </c>
      <c r="Y32" s="927"/>
      <c r="Z32" s="926">
        <v>3976913</v>
      </c>
      <c r="AA32" s="927"/>
      <c r="AB32" s="930" t="s">
        <v>2292</v>
      </c>
      <c r="AC32" s="927"/>
      <c r="AD32" s="926">
        <v>3976913</v>
      </c>
      <c r="AE32" s="927"/>
      <c r="AF32" s="926">
        <v>22101451</v>
      </c>
      <c r="AG32" s="927"/>
    </row>
    <row r="33" spans="1:33">
      <c r="A33" s="919">
        <v>1973</v>
      </c>
      <c r="B33" s="920">
        <v>4879387</v>
      </c>
      <c r="C33" s="921"/>
      <c r="D33" s="922"/>
      <c r="E33" s="923" t="s">
        <v>2290</v>
      </c>
      <c r="F33" s="920">
        <v>2597037</v>
      </c>
      <c r="G33" s="921"/>
      <c r="H33" s="920">
        <v>2597037</v>
      </c>
      <c r="I33" s="921"/>
      <c r="J33" s="920">
        <v>1495915</v>
      </c>
      <c r="K33" s="921"/>
      <c r="L33" s="922"/>
      <c r="M33" s="923" t="s">
        <v>2291</v>
      </c>
      <c r="N33" s="920">
        <v>8688675</v>
      </c>
      <c r="O33" s="921"/>
      <c r="P33" s="920">
        <v>8688675</v>
      </c>
      <c r="Q33" s="921"/>
      <c r="R33" s="920">
        <v>10184590</v>
      </c>
      <c r="S33" s="921"/>
      <c r="T33" s="920">
        <v>728177</v>
      </c>
      <c r="U33" s="921"/>
      <c r="V33" s="924" t="s">
        <v>2292</v>
      </c>
      <c r="W33" s="921"/>
      <c r="X33" s="920">
        <v>728177</v>
      </c>
      <c r="Y33" s="921"/>
      <c r="Z33" s="920">
        <v>3660172</v>
      </c>
      <c r="AA33" s="921"/>
      <c r="AB33" s="924" t="s">
        <v>2292</v>
      </c>
      <c r="AC33" s="921"/>
      <c r="AD33" s="920">
        <v>3660172</v>
      </c>
      <c r="AE33" s="921"/>
      <c r="AF33" s="920">
        <v>22049363</v>
      </c>
      <c r="AG33" s="921"/>
    </row>
    <row r="34" spans="1:33">
      <c r="A34" s="919">
        <v>1974</v>
      </c>
      <c r="B34" s="920">
        <v>4786128</v>
      </c>
      <c r="C34" s="921"/>
      <c r="D34" s="922"/>
      <c r="E34" s="923" t="s">
        <v>2290</v>
      </c>
      <c r="F34" s="920">
        <v>2555617</v>
      </c>
      <c r="G34" s="921"/>
      <c r="H34" s="920">
        <v>2555617</v>
      </c>
      <c r="I34" s="921"/>
      <c r="J34" s="920">
        <v>1477386</v>
      </c>
      <c r="K34" s="921"/>
      <c r="L34" s="922"/>
      <c r="M34" s="923" t="s">
        <v>2291</v>
      </c>
      <c r="N34" s="920">
        <v>8291782</v>
      </c>
      <c r="O34" s="921"/>
      <c r="P34" s="920">
        <v>8291782</v>
      </c>
      <c r="Q34" s="921"/>
      <c r="R34" s="920">
        <v>9769168</v>
      </c>
      <c r="S34" s="921"/>
      <c r="T34" s="920">
        <v>668792</v>
      </c>
      <c r="U34" s="921"/>
      <c r="V34" s="924" t="s">
        <v>2292</v>
      </c>
      <c r="W34" s="921"/>
      <c r="X34" s="920">
        <v>668792</v>
      </c>
      <c r="Y34" s="921"/>
      <c r="Z34" s="920">
        <v>3443428</v>
      </c>
      <c r="AA34" s="921"/>
      <c r="AB34" s="924" t="s">
        <v>2292</v>
      </c>
      <c r="AC34" s="921"/>
      <c r="AD34" s="920">
        <v>3443428</v>
      </c>
      <c r="AE34" s="921"/>
      <c r="AF34" s="920">
        <v>21223133</v>
      </c>
      <c r="AG34" s="921"/>
    </row>
    <row r="35" spans="1:33">
      <c r="A35" s="925">
        <v>1975</v>
      </c>
      <c r="B35" s="926">
        <v>4924124</v>
      </c>
      <c r="C35" s="927"/>
      <c r="D35" s="928"/>
      <c r="E35" s="929" t="s">
        <v>2290</v>
      </c>
      <c r="F35" s="926">
        <v>2508293</v>
      </c>
      <c r="G35" s="927"/>
      <c r="H35" s="926">
        <v>2508293</v>
      </c>
      <c r="I35" s="927"/>
      <c r="J35" s="926">
        <v>1396277</v>
      </c>
      <c r="K35" s="927"/>
      <c r="L35" s="928"/>
      <c r="M35" s="929" t="s">
        <v>2291</v>
      </c>
      <c r="N35" s="926">
        <v>6968267</v>
      </c>
      <c r="O35" s="927"/>
      <c r="P35" s="926">
        <v>6968267</v>
      </c>
      <c r="Q35" s="927"/>
      <c r="R35" s="926">
        <v>8364544</v>
      </c>
      <c r="S35" s="927"/>
      <c r="T35" s="926">
        <v>582963</v>
      </c>
      <c r="U35" s="927"/>
      <c r="V35" s="930" t="s">
        <v>2292</v>
      </c>
      <c r="W35" s="927"/>
      <c r="X35" s="926">
        <v>582963</v>
      </c>
      <c r="Y35" s="927"/>
      <c r="Z35" s="926">
        <v>3157669</v>
      </c>
      <c r="AA35" s="927"/>
      <c r="AB35" s="930" t="s">
        <v>2292</v>
      </c>
      <c r="AC35" s="927"/>
      <c r="AD35" s="926">
        <v>3157669</v>
      </c>
      <c r="AE35" s="927"/>
      <c r="AF35" s="926">
        <v>19537593</v>
      </c>
      <c r="AG35" s="927"/>
    </row>
    <row r="36" spans="1:33">
      <c r="A36" s="919">
        <v>1976</v>
      </c>
      <c r="B36" s="920">
        <v>5051360</v>
      </c>
      <c r="C36" s="921"/>
      <c r="D36" s="922"/>
      <c r="E36" s="923" t="s">
        <v>2290</v>
      </c>
      <c r="F36" s="920">
        <v>2667740</v>
      </c>
      <c r="G36" s="921"/>
      <c r="H36" s="920">
        <v>2667740</v>
      </c>
      <c r="I36" s="921"/>
      <c r="J36" s="920">
        <v>1634355</v>
      </c>
      <c r="K36" s="921"/>
      <c r="L36" s="922"/>
      <c r="M36" s="923" t="s">
        <v>2291</v>
      </c>
      <c r="N36" s="920">
        <v>6963850</v>
      </c>
      <c r="O36" s="921"/>
      <c r="P36" s="920">
        <v>6963850</v>
      </c>
      <c r="Q36" s="921"/>
      <c r="R36" s="920">
        <v>8598205</v>
      </c>
      <c r="S36" s="921"/>
      <c r="T36" s="920">
        <v>548323</v>
      </c>
      <c r="U36" s="921"/>
      <c r="V36" s="924" t="s">
        <v>2292</v>
      </c>
      <c r="W36" s="921"/>
      <c r="X36" s="920">
        <v>548323</v>
      </c>
      <c r="Y36" s="921"/>
      <c r="Z36" s="920">
        <v>3080868</v>
      </c>
      <c r="AA36" s="921"/>
      <c r="AB36" s="924" t="s">
        <v>2292</v>
      </c>
      <c r="AC36" s="921"/>
      <c r="AD36" s="920">
        <v>3080868</v>
      </c>
      <c r="AE36" s="921"/>
      <c r="AF36" s="920">
        <v>19946496</v>
      </c>
      <c r="AG36" s="921"/>
    </row>
    <row r="37" spans="1:33">
      <c r="A37" s="919">
        <v>1977</v>
      </c>
      <c r="B37" s="920">
        <v>4821485</v>
      </c>
      <c r="C37" s="921"/>
      <c r="D37" s="922"/>
      <c r="E37" s="923" t="s">
        <v>2290</v>
      </c>
      <c r="F37" s="920">
        <v>2500793</v>
      </c>
      <c r="G37" s="921"/>
      <c r="H37" s="920">
        <v>2500793</v>
      </c>
      <c r="I37" s="921"/>
      <c r="J37" s="920">
        <v>1659145</v>
      </c>
      <c r="K37" s="921"/>
      <c r="L37" s="922"/>
      <c r="M37" s="923" t="s">
        <v>2291</v>
      </c>
      <c r="N37" s="920">
        <v>6815289</v>
      </c>
      <c r="O37" s="921"/>
      <c r="P37" s="920">
        <v>6815289</v>
      </c>
      <c r="Q37" s="921"/>
      <c r="R37" s="920">
        <v>8474434</v>
      </c>
      <c r="S37" s="921"/>
      <c r="T37" s="920">
        <v>532669</v>
      </c>
      <c r="U37" s="921"/>
      <c r="V37" s="924" t="s">
        <v>2292</v>
      </c>
      <c r="W37" s="921"/>
      <c r="X37" s="920">
        <v>532669</v>
      </c>
      <c r="Y37" s="921"/>
      <c r="Z37" s="920">
        <v>3191200</v>
      </c>
      <c r="AA37" s="921"/>
      <c r="AB37" s="924" t="s">
        <v>2292</v>
      </c>
      <c r="AC37" s="921"/>
      <c r="AD37" s="920">
        <v>3191200</v>
      </c>
      <c r="AE37" s="921"/>
      <c r="AF37" s="920">
        <v>19520581</v>
      </c>
      <c r="AG37" s="921"/>
    </row>
    <row r="38" spans="1:33">
      <c r="A38" s="925">
        <v>1978</v>
      </c>
      <c r="B38" s="926">
        <v>4903006</v>
      </c>
      <c r="C38" s="927"/>
      <c r="D38" s="928"/>
      <c r="E38" s="929" t="s">
        <v>2290</v>
      </c>
      <c r="F38" s="926">
        <v>2601106</v>
      </c>
      <c r="G38" s="927"/>
      <c r="H38" s="926">
        <v>2601106</v>
      </c>
      <c r="I38" s="927"/>
      <c r="J38" s="926">
        <v>1647911</v>
      </c>
      <c r="K38" s="927"/>
      <c r="L38" s="928"/>
      <c r="M38" s="929" t="s">
        <v>2291</v>
      </c>
      <c r="N38" s="926">
        <v>6756641</v>
      </c>
      <c r="O38" s="927"/>
      <c r="P38" s="926">
        <v>6756641</v>
      </c>
      <c r="Q38" s="927"/>
      <c r="R38" s="926">
        <v>8404552</v>
      </c>
      <c r="S38" s="927"/>
      <c r="T38" s="926">
        <v>530451</v>
      </c>
      <c r="U38" s="927"/>
      <c r="V38" s="930" t="s">
        <v>2292</v>
      </c>
      <c r="W38" s="927"/>
      <c r="X38" s="926">
        <v>530451</v>
      </c>
      <c r="Y38" s="927"/>
      <c r="Z38" s="926">
        <v>3188363</v>
      </c>
      <c r="AA38" s="927"/>
      <c r="AB38" s="930" t="s">
        <v>2292</v>
      </c>
      <c r="AC38" s="927"/>
      <c r="AD38" s="926">
        <v>3188363</v>
      </c>
      <c r="AE38" s="927"/>
      <c r="AF38" s="926">
        <v>19627478</v>
      </c>
      <c r="AG38" s="927"/>
    </row>
    <row r="39" spans="1:33">
      <c r="A39" s="919">
        <v>1979</v>
      </c>
      <c r="B39" s="920">
        <v>4965365</v>
      </c>
      <c r="C39" s="921"/>
      <c r="D39" s="922"/>
      <c r="E39" s="923" t="s">
        <v>2290</v>
      </c>
      <c r="F39" s="920">
        <v>2785961</v>
      </c>
      <c r="G39" s="921"/>
      <c r="H39" s="920">
        <v>2785961</v>
      </c>
      <c r="I39" s="921"/>
      <c r="J39" s="920">
        <v>1498530</v>
      </c>
      <c r="K39" s="921"/>
      <c r="L39" s="922"/>
      <c r="M39" s="923" t="s">
        <v>2291</v>
      </c>
      <c r="N39" s="920">
        <v>6899418</v>
      </c>
      <c r="O39" s="921"/>
      <c r="P39" s="920">
        <v>6899418</v>
      </c>
      <c r="Q39" s="921"/>
      <c r="R39" s="920">
        <v>8397948</v>
      </c>
      <c r="S39" s="921"/>
      <c r="T39" s="920">
        <v>600964</v>
      </c>
      <c r="U39" s="921"/>
      <c r="V39" s="924" t="s">
        <v>2292</v>
      </c>
      <c r="W39" s="921"/>
      <c r="X39" s="920">
        <v>600964</v>
      </c>
      <c r="Y39" s="921"/>
      <c r="Z39" s="920">
        <v>3490523</v>
      </c>
      <c r="AA39" s="921"/>
      <c r="AB39" s="924" t="s">
        <v>2292</v>
      </c>
      <c r="AC39" s="921"/>
      <c r="AD39" s="920">
        <v>3490523</v>
      </c>
      <c r="AE39" s="921"/>
      <c r="AF39" s="920">
        <v>20240761</v>
      </c>
      <c r="AG39" s="921"/>
    </row>
    <row r="40" spans="1:33">
      <c r="A40" s="919">
        <v>1980</v>
      </c>
      <c r="B40" s="920">
        <v>4752082</v>
      </c>
      <c r="C40" s="921"/>
      <c r="D40" s="922"/>
      <c r="E40" s="923" t="s">
        <v>2290</v>
      </c>
      <c r="F40" s="920">
        <v>2610895</v>
      </c>
      <c r="G40" s="921"/>
      <c r="H40" s="920">
        <v>2610895</v>
      </c>
      <c r="I40" s="921"/>
      <c r="J40" s="920">
        <v>1026438</v>
      </c>
      <c r="K40" s="921"/>
      <c r="L40" s="922"/>
      <c r="M40" s="923" t="s">
        <v>2291</v>
      </c>
      <c r="N40" s="920">
        <v>7171661</v>
      </c>
      <c r="O40" s="921"/>
      <c r="P40" s="920">
        <v>7171661</v>
      </c>
      <c r="Q40" s="921"/>
      <c r="R40" s="920">
        <v>8198099</v>
      </c>
      <c r="S40" s="921"/>
      <c r="T40" s="920">
        <v>634622</v>
      </c>
      <c r="U40" s="921"/>
      <c r="V40" s="924" t="s">
        <v>2292</v>
      </c>
      <c r="W40" s="921"/>
      <c r="X40" s="920">
        <v>634622</v>
      </c>
      <c r="Y40" s="921"/>
      <c r="Z40" s="920">
        <v>3681595</v>
      </c>
      <c r="AA40" s="921"/>
      <c r="AB40" s="924" t="s">
        <v>2292</v>
      </c>
      <c r="AC40" s="921"/>
      <c r="AD40" s="920">
        <v>3681595</v>
      </c>
      <c r="AE40" s="921"/>
      <c r="AF40" s="920">
        <v>19877293</v>
      </c>
      <c r="AG40" s="921"/>
    </row>
    <row r="41" spans="1:33">
      <c r="A41" s="925">
        <v>1981</v>
      </c>
      <c r="B41" s="926">
        <v>4546450</v>
      </c>
      <c r="C41" s="927"/>
      <c r="D41" s="928"/>
      <c r="E41" s="929" t="s">
        <v>2290</v>
      </c>
      <c r="F41" s="926">
        <v>2519791</v>
      </c>
      <c r="G41" s="927"/>
      <c r="H41" s="926">
        <v>2519791</v>
      </c>
      <c r="I41" s="927"/>
      <c r="J41" s="926">
        <v>927591</v>
      </c>
      <c r="K41" s="927"/>
      <c r="L41" s="928"/>
      <c r="M41" s="929" t="s">
        <v>2291</v>
      </c>
      <c r="N41" s="926">
        <v>7127547</v>
      </c>
      <c r="O41" s="927"/>
      <c r="P41" s="926">
        <v>7127547</v>
      </c>
      <c r="Q41" s="927"/>
      <c r="R41" s="926">
        <v>8055138</v>
      </c>
      <c r="S41" s="927"/>
      <c r="T41" s="926">
        <v>642325</v>
      </c>
      <c r="U41" s="927"/>
      <c r="V41" s="930" t="s">
        <v>2292</v>
      </c>
      <c r="W41" s="927"/>
      <c r="X41" s="926">
        <v>642325</v>
      </c>
      <c r="Y41" s="927"/>
      <c r="Z41" s="926">
        <v>3640154</v>
      </c>
      <c r="AA41" s="927"/>
      <c r="AB41" s="930" t="s">
        <v>2292</v>
      </c>
      <c r="AC41" s="927"/>
      <c r="AD41" s="926">
        <v>3640154</v>
      </c>
      <c r="AE41" s="927"/>
      <c r="AF41" s="926">
        <v>19403858</v>
      </c>
      <c r="AG41" s="927"/>
    </row>
    <row r="42" spans="1:33">
      <c r="A42" s="919">
        <v>1982</v>
      </c>
      <c r="B42" s="920">
        <v>4633035</v>
      </c>
      <c r="C42" s="921"/>
      <c r="D42" s="922"/>
      <c r="E42" s="923" t="s">
        <v>2290</v>
      </c>
      <c r="F42" s="920">
        <v>2605523</v>
      </c>
      <c r="G42" s="921"/>
      <c r="H42" s="920">
        <v>2605523</v>
      </c>
      <c r="I42" s="921"/>
      <c r="J42" s="920">
        <v>1109398</v>
      </c>
      <c r="K42" s="921"/>
      <c r="L42" s="922"/>
      <c r="M42" s="923" t="s">
        <v>2291</v>
      </c>
      <c r="N42" s="920">
        <v>5831170</v>
      </c>
      <c r="O42" s="921"/>
      <c r="P42" s="920">
        <v>5831170</v>
      </c>
      <c r="Q42" s="921"/>
      <c r="R42" s="920">
        <v>6940568</v>
      </c>
      <c r="S42" s="921"/>
      <c r="T42" s="920">
        <v>596411</v>
      </c>
      <c r="U42" s="921"/>
      <c r="V42" s="924" t="s">
        <v>2292</v>
      </c>
      <c r="W42" s="921"/>
      <c r="X42" s="920">
        <v>596411</v>
      </c>
      <c r="Y42" s="921"/>
      <c r="Z42" s="920">
        <v>3225518</v>
      </c>
      <c r="AA42" s="921"/>
      <c r="AB42" s="924" t="s">
        <v>2292</v>
      </c>
      <c r="AC42" s="921"/>
      <c r="AD42" s="920">
        <v>3225518</v>
      </c>
      <c r="AE42" s="921"/>
      <c r="AF42" s="920">
        <v>18001055</v>
      </c>
      <c r="AG42" s="921"/>
    </row>
    <row r="43" spans="1:33">
      <c r="A43" s="919">
        <v>1983</v>
      </c>
      <c r="B43" s="920">
        <v>4380599</v>
      </c>
      <c r="C43" s="921"/>
      <c r="D43" s="922"/>
      <c r="E43" s="923" t="s">
        <v>2290</v>
      </c>
      <c r="F43" s="920">
        <v>2432547</v>
      </c>
      <c r="G43" s="921"/>
      <c r="H43" s="920">
        <v>2432547</v>
      </c>
      <c r="I43" s="921"/>
      <c r="J43" s="920">
        <v>978249</v>
      </c>
      <c r="K43" s="921"/>
      <c r="L43" s="922"/>
      <c r="M43" s="923" t="s">
        <v>2291</v>
      </c>
      <c r="N43" s="920">
        <v>5642708</v>
      </c>
      <c r="O43" s="921"/>
      <c r="P43" s="920">
        <v>5642708</v>
      </c>
      <c r="Q43" s="921"/>
      <c r="R43" s="920">
        <v>6620957</v>
      </c>
      <c r="S43" s="921"/>
      <c r="T43" s="920">
        <v>490042</v>
      </c>
      <c r="U43" s="921"/>
      <c r="V43" s="924" t="s">
        <v>2292</v>
      </c>
      <c r="W43" s="921"/>
      <c r="X43" s="920">
        <v>490042</v>
      </c>
      <c r="Y43" s="921"/>
      <c r="Z43" s="920">
        <v>2910767</v>
      </c>
      <c r="AA43" s="921"/>
      <c r="AB43" s="924" t="s">
        <v>2292</v>
      </c>
      <c r="AC43" s="921"/>
      <c r="AD43" s="920">
        <v>2910767</v>
      </c>
      <c r="AE43" s="921"/>
      <c r="AF43" s="920">
        <v>16834912</v>
      </c>
      <c r="AG43" s="921"/>
    </row>
    <row r="44" spans="1:33">
      <c r="A44" s="925">
        <v>1984</v>
      </c>
      <c r="B44" s="926">
        <v>4555465</v>
      </c>
      <c r="C44" s="927"/>
      <c r="D44" s="928"/>
      <c r="E44" s="929" t="s">
        <v>2290</v>
      </c>
      <c r="F44" s="926">
        <v>2524244</v>
      </c>
      <c r="G44" s="927"/>
      <c r="H44" s="926">
        <v>2524244</v>
      </c>
      <c r="I44" s="927"/>
      <c r="J44" s="926">
        <v>1076881</v>
      </c>
      <c r="K44" s="927"/>
      <c r="L44" s="928"/>
      <c r="M44" s="929" t="s">
        <v>2291</v>
      </c>
      <c r="N44" s="926">
        <v>6153841</v>
      </c>
      <c r="O44" s="927"/>
      <c r="P44" s="926">
        <v>6153841</v>
      </c>
      <c r="Q44" s="927"/>
      <c r="R44" s="926">
        <v>7230722</v>
      </c>
      <c r="S44" s="927"/>
      <c r="T44" s="926">
        <v>528754</v>
      </c>
      <c r="U44" s="927"/>
      <c r="V44" s="930" t="s">
        <v>2292</v>
      </c>
      <c r="W44" s="927"/>
      <c r="X44" s="926">
        <v>528754</v>
      </c>
      <c r="Y44" s="927"/>
      <c r="Z44" s="926">
        <v>3111342</v>
      </c>
      <c r="AA44" s="927"/>
      <c r="AB44" s="930" t="s">
        <v>2292</v>
      </c>
      <c r="AC44" s="927"/>
      <c r="AD44" s="926">
        <v>3111342</v>
      </c>
      <c r="AE44" s="927"/>
      <c r="AF44" s="926">
        <v>17950527</v>
      </c>
      <c r="AG44" s="927"/>
    </row>
    <row r="45" spans="1:33">
      <c r="A45" s="919">
        <v>1985</v>
      </c>
      <c r="B45" s="920">
        <v>4433377</v>
      </c>
      <c r="C45" s="921"/>
      <c r="D45" s="922"/>
      <c r="E45" s="923" t="s">
        <v>2290</v>
      </c>
      <c r="F45" s="920">
        <v>2432382</v>
      </c>
      <c r="G45" s="921"/>
      <c r="H45" s="920">
        <v>2432382</v>
      </c>
      <c r="I45" s="921"/>
      <c r="J45" s="920">
        <v>966047</v>
      </c>
      <c r="K45" s="921"/>
      <c r="L45" s="922"/>
      <c r="M45" s="923" t="s">
        <v>2291</v>
      </c>
      <c r="N45" s="920">
        <v>5901288</v>
      </c>
      <c r="O45" s="921"/>
      <c r="P45" s="920">
        <v>5901288</v>
      </c>
      <c r="Q45" s="921"/>
      <c r="R45" s="920">
        <v>6867335</v>
      </c>
      <c r="S45" s="921"/>
      <c r="T45" s="920">
        <v>503766</v>
      </c>
      <c r="U45" s="921"/>
      <c r="V45" s="924" t="s">
        <v>2292</v>
      </c>
      <c r="W45" s="921"/>
      <c r="X45" s="920">
        <v>503766</v>
      </c>
      <c r="Y45" s="921"/>
      <c r="Z45" s="920">
        <v>3044083</v>
      </c>
      <c r="AA45" s="921"/>
      <c r="AB45" s="924" t="s">
        <v>2292</v>
      </c>
      <c r="AC45" s="921"/>
      <c r="AD45" s="920">
        <v>3044083</v>
      </c>
      <c r="AE45" s="921"/>
      <c r="AF45" s="920">
        <v>17280943</v>
      </c>
      <c r="AG45" s="921"/>
    </row>
    <row r="46" spans="1:33">
      <c r="A46" s="919">
        <v>1986</v>
      </c>
      <c r="B46" s="920">
        <v>4313969</v>
      </c>
      <c r="C46" s="921"/>
      <c r="D46" s="922"/>
      <c r="E46" s="923" t="s">
        <v>2290</v>
      </c>
      <c r="F46" s="920">
        <v>2318335</v>
      </c>
      <c r="G46" s="921"/>
      <c r="H46" s="920">
        <v>2318335</v>
      </c>
      <c r="I46" s="921"/>
      <c r="J46" s="920">
        <v>922524</v>
      </c>
      <c r="K46" s="921"/>
      <c r="L46" s="922"/>
      <c r="M46" s="923" t="s">
        <v>2291</v>
      </c>
      <c r="N46" s="920">
        <v>5579057</v>
      </c>
      <c r="O46" s="921"/>
      <c r="P46" s="920">
        <v>5579057</v>
      </c>
      <c r="Q46" s="921"/>
      <c r="R46" s="920">
        <v>6501581</v>
      </c>
      <c r="S46" s="921"/>
      <c r="T46" s="920">
        <v>485041</v>
      </c>
      <c r="U46" s="921"/>
      <c r="V46" s="924" t="s">
        <v>2292</v>
      </c>
      <c r="W46" s="921"/>
      <c r="X46" s="920">
        <v>485041</v>
      </c>
      <c r="Y46" s="921"/>
      <c r="Z46" s="920">
        <v>2602370</v>
      </c>
      <c r="AA46" s="921"/>
      <c r="AB46" s="924" t="s">
        <v>2292</v>
      </c>
      <c r="AC46" s="921"/>
      <c r="AD46" s="920">
        <v>2602370</v>
      </c>
      <c r="AE46" s="921"/>
      <c r="AF46" s="920">
        <v>16221296</v>
      </c>
      <c r="AG46" s="921"/>
    </row>
    <row r="47" spans="1:33">
      <c r="A47" s="925">
        <v>1987</v>
      </c>
      <c r="B47" s="926">
        <v>4314833</v>
      </c>
      <c r="C47" s="927"/>
      <c r="D47" s="928"/>
      <c r="E47" s="929" t="s">
        <v>2290</v>
      </c>
      <c r="F47" s="926">
        <v>2430064</v>
      </c>
      <c r="G47" s="927"/>
      <c r="H47" s="926">
        <v>2430064</v>
      </c>
      <c r="I47" s="927"/>
      <c r="J47" s="926">
        <v>1149383</v>
      </c>
      <c r="K47" s="927"/>
      <c r="L47" s="928"/>
      <c r="M47" s="929" t="s">
        <v>2291</v>
      </c>
      <c r="N47" s="926">
        <v>5953308</v>
      </c>
      <c r="O47" s="927"/>
      <c r="P47" s="926">
        <v>5953308</v>
      </c>
      <c r="Q47" s="927"/>
      <c r="R47" s="926">
        <v>7102691</v>
      </c>
      <c r="S47" s="927"/>
      <c r="T47" s="926">
        <v>519170</v>
      </c>
      <c r="U47" s="927"/>
      <c r="V47" s="930" t="s">
        <v>2292</v>
      </c>
      <c r="W47" s="927"/>
      <c r="X47" s="926">
        <v>519170</v>
      </c>
      <c r="Y47" s="927"/>
      <c r="Z47" s="926">
        <v>2844051</v>
      </c>
      <c r="AA47" s="927"/>
      <c r="AB47" s="930" t="s">
        <v>2292</v>
      </c>
      <c r="AC47" s="927"/>
      <c r="AD47" s="926">
        <v>2844051</v>
      </c>
      <c r="AE47" s="927"/>
      <c r="AF47" s="926">
        <v>17210809</v>
      </c>
      <c r="AG47" s="927"/>
    </row>
    <row r="48" spans="1:33">
      <c r="A48" s="919">
        <v>1988</v>
      </c>
      <c r="B48" s="920">
        <v>4630330</v>
      </c>
      <c r="C48" s="921"/>
      <c r="D48" s="922"/>
      <c r="E48" s="923" t="s">
        <v>2290</v>
      </c>
      <c r="F48" s="920">
        <v>2670465</v>
      </c>
      <c r="G48" s="921"/>
      <c r="H48" s="920">
        <v>2670465</v>
      </c>
      <c r="I48" s="921"/>
      <c r="J48" s="920">
        <v>1095883</v>
      </c>
      <c r="K48" s="921"/>
      <c r="L48" s="922"/>
      <c r="M48" s="923" t="s">
        <v>2291</v>
      </c>
      <c r="N48" s="920">
        <v>6383382</v>
      </c>
      <c r="O48" s="921"/>
      <c r="P48" s="920">
        <v>6383382</v>
      </c>
      <c r="Q48" s="921"/>
      <c r="R48" s="920">
        <v>7479265</v>
      </c>
      <c r="S48" s="921"/>
      <c r="T48" s="920">
        <v>613912</v>
      </c>
      <c r="U48" s="921"/>
      <c r="V48" s="924" t="s">
        <v>2292</v>
      </c>
      <c r="W48" s="921"/>
      <c r="X48" s="920">
        <v>613912</v>
      </c>
      <c r="Y48" s="921"/>
      <c r="Z48" s="920">
        <v>2635613</v>
      </c>
      <c r="AA48" s="921"/>
      <c r="AB48" s="924" t="s">
        <v>2292</v>
      </c>
      <c r="AC48" s="921"/>
      <c r="AD48" s="920">
        <v>2635613</v>
      </c>
      <c r="AE48" s="921"/>
      <c r="AF48" s="920">
        <v>18029585</v>
      </c>
      <c r="AG48" s="921"/>
    </row>
    <row r="49" spans="1:33">
      <c r="A49" s="919">
        <v>1989</v>
      </c>
      <c r="B49" s="920">
        <v>4780638</v>
      </c>
      <c r="C49" s="921"/>
      <c r="D49" s="920">
        <v>30037</v>
      </c>
      <c r="E49" s="921"/>
      <c r="F49" s="920">
        <v>2687685</v>
      </c>
      <c r="G49" s="921"/>
      <c r="H49" s="920">
        <v>2717722</v>
      </c>
      <c r="I49" s="921"/>
      <c r="J49" s="920">
        <v>1069902</v>
      </c>
      <c r="K49" s="921"/>
      <c r="L49" s="920">
        <v>913516</v>
      </c>
      <c r="M49" s="921"/>
      <c r="N49" s="920">
        <v>5902728</v>
      </c>
      <c r="O49" s="923" t="s">
        <v>2293</v>
      </c>
      <c r="P49" s="920">
        <v>6816244</v>
      </c>
      <c r="Q49" s="923" t="s">
        <v>2293</v>
      </c>
      <c r="R49" s="920">
        <v>7886146</v>
      </c>
      <c r="S49" s="921"/>
      <c r="T49" s="920">
        <v>629308</v>
      </c>
      <c r="U49" s="921"/>
      <c r="V49" s="924" t="s">
        <v>2292</v>
      </c>
      <c r="W49" s="921"/>
      <c r="X49" s="920">
        <v>629308</v>
      </c>
      <c r="Y49" s="921"/>
      <c r="Z49" s="920">
        <v>2790567</v>
      </c>
      <c r="AA49" s="923" t="s">
        <v>2293</v>
      </c>
      <c r="AB49" s="920">
        <v>314616</v>
      </c>
      <c r="AC49" s="923" t="s">
        <v>2293</v>
      </c>
      <c r="AD49" s="920">
        <v>3105183</v>
      </c>
      <c r="AE49" s="923" t="s">
        <v>2293</v>
      </c>
      <c r="AF49" s="920">
        <v>19118997</v>
      </c>
      <c r="AG49" s="923" t="s">
        <v>2293</v>
      </c>
    </row>
    <row r="50" spans="1:33">
      <c r="A50" s="925">
        <v>1990</v>
      </c>
      <c r="B50" s="926">
        <v>4391324</v>
      </c>
      <c r="C50" s="927"/>
      <c r="D50" s="926">
        <v>46458</v>
      </c>
      <c r="E50" s="927"/>
      <c r="F50" s="926">
        <v>2576263</v>
      </c>
      <c r="G50" s="927"/>
      <c r="H50" s="926">
        <v>2622721</v>
      </c>
      <c r="I50" s="927"/>
      <c r="J50" s="926">
        <v>1236392</v>
      </c>
      <c r="K50" s="927"/>
      <c r="L50" s="926">
        <v>1055235</v>
      </c>
      <c r="M50" s="927"/>
      <c r="N50" s="926">
        <v>5963179</v>
      </c>
      <c r="O50" s="929" t="s">
        <v>2293</v>
      </c>
      <c r="P50" s="926">
        <v>7018414</v>
      </c>
      <c r="Q50" s="929" t="s">
        <v>2293</v>
      </c>
      <c r="R50" s="926">
        <v>8254806</v>
      </c>
      <c r="S50" s="927"/>
      <c r="T50" s="926">
        <v>659816</v>
      </c>
      <c r="U50" s="927"/>
      <c r="V50" s="930">
        <v>270</v>
      </c>
      <c r="W50" s="927"/>
      <c r="X50" s="926">
        <v>660086</v>
      </c>
      <c r="Y50" s="927"/>
      <c r="Z50" s="926">
        <v>2794110</v>
      </c>
      <c r="AA50" s="929" t="s">
        <v>2293</v>
      </c>
      <c r="AB50" s="926">
        <v>450509</v>
      </c>
      <c r="AC50" s="929" t="s">
        <v>2293</v>
      </c>
      <c r="AD50" s="926">
        <v>3244619</v>
      </c>
      <c r="AE50" s="929" t="s">
        <v>2293</v>
      </c>
      <c r="AF50" s="926">
        <v>19173556</v>
      </c>
      <c r="AG50" s="929" t="s">
        <v>2293</v>
      </c>
    </row>
    <row r="51" spans="1:33">
      <c r="A51" s="919">
        <v>1991</v>
      </c>
      <c r="B51" s="920">
        <v>4555659</v>
      </c>
      <c r="C51" s="921"/>
      <c r="D51" s="920">
        <v>52101</v>
      </c>
      <c r="E51" s="921"/>
      <c r="F51" s="920">
        <v>2676480</v>
      </c>
      <c r="G51" s="921"/>
      <c r="H51" s="920">
        <v>2728581</v>
      </c>
      <c r="I51" s="921"/>
      <c r="J51" s="920">
        <v>1129268</v>
      </c>
      <c r="K51" s="921"/>
      <c r="L51" s="920">
        <v>1060716</v>
      </c>
      <c r="M51" s="921"/>
      <c r="N51" s="920">
        <v>6170246</v>
      </c>
      <c r="O51" s="923" t="s">
        <v>2293</v>
      </c>
      <c r="P51" s="920">
        <v>7230962</v>
      </c>
      <c r="Q51" s="923" t="s">
        <v>2293</v>
      </c>
      <c r="R51" s="920">
        <v>8360230</v>
      </c>
      <c r="S51" s="921"/>
      <c r="T51" s="920">
        <v>601305</v>
      </c>
      <c r="U51" s="921"/>
      <c r="V51" s="924">
        <v>367</v>
      </c>
      <c r="W51" s="921"/>
      <c r="X51" s="920">
        <v>601672</v>
      </c>
      <c r="Y51" s="921"/>
      <c r="Z51" s="920">
        <v>2822159</v>
      </c>
      <c r="AA51" s="923" t="s">
        <v>2293</v>
      </c>
      <c r="AB51" s="920">
        <v>493766</v>
      </c>
      <c r="AC51" s="923" t="s">
        <v>2293</v>
      </c>
      <c r="AD51" s="920">
        <v>3315925</v>
      </c>
      <c r="AE51" s="923" t="s">
        <v>2293</v>
      </c>
      <c r="AF51" s="920">
        <v>19562067</v>
      </c>
      <c r="AG51" s="923" t="s">
        <v>2293</v>
      </c>
    </row>
    <row r="52" spans="1:33">
      <c r="A52" s="919">
        <v>1992</v>
      </c>
      <c r="B52" s="920">
        <v>4690065</v>
      </c>
      <c r="C52" s="921"/>
      <c r="D52" s="920">
        <v>62346</v>
      </c>
      <c r="E52" s="921"/>
      <c r="F52" s="920">
        <v>2740405</v>
      </c>
      <c r="G52" s="921"/>
      <c r="H52" s="920">
        <v>2802751</v>
      </c>
      <c r="I52" s="921"/>
      <c r="J52" s="920">
        <v>1170821</v>
      </c>
      <c r="K52" s="921"/>
      <c r="L52" s="920">
        <v>1107361</v>
      </c>
      <c r="M52" s="921"/>
      <c r="N52" s="920">
        <v>6419537</v>
      </c>
      <c r="O52" s="923" t="s">
        <v>2293</v>
      </c>
      <c r="P52" s="920">
        <v>7526898</v>
      </c>
      <c r="Q52" s="923" t="s">
        <v>2293</v>
      </c>
      <c r="R52" s="920">
        <v>8697719</v>
      </c>
      <c r="S52" s="921"/>
      <c r="T52" s="920">
        <v>587710</v>
      </c>
      <c r="U52" s="921"/>
      <c r="V52" s="920">
        <v>2112</v>
      </c>
      <c r="W52" s="921"/>
      <c r="X52" s="920">
        <v>589822</v>
      </c>
      <c r="Y52" s="921"/>
      <c r="Z52" s="920">
        <v>2828996</v>
      </c>
      <c r="AA52" s="923" t="s">
        <v>2293</v>
      </c>
      <c r="AB52" s="920">
        <v>618875</v>
      </c>
      <c r="AC52" s="923" t="s">
        <v>2293</v>
      </c>
      <c r="AD52" s="920">
        <v>3447871</v>
      </c>
      <c r="AE52" s="923" t="s">
        <v>2293</v>
      </c>
      <c r="AF52" s="920">
        <v>20228228</v>
      </c>
      <c r="AG52" s="923" t="s">
        <v>2293</v>
      </c>
    </row>
    <row r="53" spans="1:33">
      <c r="A53" s="925">
        <v>1993</v>
      </c>
      <c r="B53" s="926">
        <v>4956445</v>
      </c>
      <c r="C53" s="927"/>
      <c r="D53" s="926">
        <v>65173</v>
      </c>
      <c r="E53" s="927"/>
      <c r="F53" s="926">
        <v>2796396</v>
      </c>
      <c r="G53" s="927"/>
      <c r="H53" s="926">
        <v>2861569</v>
      </c>
      <c r="I53" s="927"/>
      <c r="J53" s="926">
        <v>1171940</v>
      </c>
      <c r="K53" s="927"/>
      <c r="L53" s="926">
        <v>1124081</v>
      </c>
      <c r="M53" s="927"/>
      <c r="N53" s="926">
        <v>6575657</v>
      </c>
      <c r="O53" s="927"/>
      <c r="P53" s="926">
        <v>7699738</v>
      </c>
      <c r="Q53" s="927"/>
      <c r="R53" s="926">
        <v>8871678</v>
      </c>
      <c r="S53" s="927"/>
      <c r="T53" s="926">
        <v>624308</v>
      </c>
      <c r="U53" s="927"/>
      <c r="V53" s="926">
        <v>2860</v>
      </c>
      <c r="W53" s="927"/>
      <c r="X53" s="926">
        <v>627168</v>
      </c>
      <c r="Y53" s="927"/>
      <c r="Z53" s="926">
        <v>2755093</v>
      </c>
      <c r="AA53" s="927"/>
      <c r="AB53" s="926">
        <v>717890</v>
      </c>
      <c r="AC53" s="927"/>
      <c r="AD53" s="926">
        <v>3472982</v>
      </c>
      <c r="AE53" s="927"/>
      <c r="AF53" s="926">
        <v>20789842</v>
      </c>
      <c r="AG53" s="927"/>
    </row>
    <row r="54" spans="1:33">
      <c r="A54" s="919">
        <v>1994</v>
      </c>
      <c r="B54" s="920">
        <v>4847701</v>
      </c>
      <c r="C54" s="921"/>
      <c r="D54" s="920">
        <v>72285</v>
      </c>
      <c r="E54" s="921"/>
      <c r="F54" s="920">
        <v>2822728</v>
      </c>
      <c r="G54" s="921"/>
      <c r="H54" s="920">
        <v>2895013</v>
      </c>
      <c r="I54" s="921"/>
      <c r="J54" s="920">
        <v>1123720</v>
      </c>
      <c r="K54" s="921"/>
      <c r="L54" s="920">
        <v>1176332</v>
      </c>
      <c r="M54" s="921"/>
      <c r="N54" s="920">
        <v>6613217</v>
      </c>
      <c r="O54" s="921"/>
      <c r="P54" s="920">
        <v>7789549</v>
      </c>
      <c r="Q54" s="921"/>
      <c r="R54" s="920">
        <v>8913269</v>
      </c>
      <c r="S54" s="921"/>
      <c r="T54" s="920">
        <v>685362</v>
      </c>
      <c r="U54" s="921"/>
      <c r="V54" s="920">
        <v>3207</v>
      </c>
      <c r="W54" s="921"/>
      <c r="X54" s="920">
        <v>688569</v>
      </c>
      <c r="Y54" s="921"/>
      <c r="Z54" s="920">
        <v>3064561</v>
      </c>
      <c r="AA54" s="921"/>
      <c r="AB54" s="920">
        <v>837985</v>
      </c>
      <c r="AC54" s="921"/>
      <c r="AD54" s="920">
        <v>3902546</v>
      </c>
      <c r="AE54" s="921"/>
      <c r="AF54" s="920">
        <v>21247098</v>
      </c>
      <c r="AG54" s="921"/>
    </row>
    <row r="55" spans="1:33">
      <c r="A55" s="919">
        <v>1995</v>
      </c>
      <c r="B55" s="920">
        <v>4850318</v>
      </c>
      <c r="C55" s="921"/>
      <c r="D55" s="920">
        <v>77664</v>
      </c>
      <c r="E55" s="921"/>
      <c r="F55" s="920">
        <v>2953413</v>
      </c>
      <c r="G55" s="921"/>
      <c r="H55" s="920">
        <v>3031077</v>
      </c>
      <c r="I55" s="921"/>
      <c r="J55" s="920">
        <v>1220168</v>
      </c>
      <c r="K55" s="921"/>
      <c r="L55" s="920">
        <v>1258063</v>
      </c>
      <c r="M55" s="921"/>
      <c r="N55" s="920">
        <v>6905817</v>
      </c>
      <c r="O55" s="921"/>
      <c r="P55" s="920">
        <v>8163880</v>
      </c>
      <c r="Q55" s="921"/>
      <c r="R55" s="920">
        <v>9384048</v>
      </c>
      <c r="S55" s="921"/>
      <c r="T55" s="920">
        <v>700335</v>
      </c>
      <c r="U55" s="921"/>
      <c r="V55" s="920">
        <v>4585</v>
      </c>
      <c r="W55" s="921"/>
      <c r="X55" s="920">
        <v>704920</v>
      </c>
      <c r="Y55" s="921"/>
      <c r="Z55" s="920">
        <v>3287571</v>
      </c>
      <c r="AA55" s="921"/>
      <c r="AB55" s="920">
        <v>948954</v>
      </c>
      <c r="AC55" s="921"/>
      <c r="AD55" s="920">
        <v>4236526</v>
      </c>
      <c r="AE55" s="921"/>
      <c r="AF55" s="920">
        <v>22206889</v>
      </c>
      <c r="AG55" s="921"/>
    </row>
    <row r="56" spans="1:33">
      <c r="A56" s="925">
        <v>1996</v>
      </c>
      <c r="B56" s="926">
        <v>5241414</v>
      </c>
      <c r="C56" s="927"/>
      <c r="D56" s="926">
        <v>82455</v>
      </c>
      <c r="E56" s="927"/>
      <c r="F56" s="926">
        <v>3075789</v>
      </c>
      <c r="G56" s="927"/>
      <c r="H56" s="926">
        <v>3158244</v>
      </c>
      <c r="I56" s="927"/>
      <c r="J56" s="926">
        <v>1249662</v>
      </c>
      <c r="K56" s="927"/>
      <c r="L56" s="926">
        <v>1288876</v>
      </c>
      <c r="M56" s="927"/>
      <c r="N56" s="926">
        <v>7146470</v>
      </c>
      <c r="O56" s="927"/>
      <c r="P56" s="926">
        <v>8435346</v>
      </c>
      <c r="Q56" s="927"/>
      <c r="R56" s="926">
        <v>9685008</v>
      </c>
      <c r="S56" s="927"/>
      <c r="T56" s="926">
        <v>711446</v>
      </c>
      <c r="U56" s="927"/>
      <c r="V56" s="926">
        <v>6067</v>
      </c>
      <c r="W56" s="927"/>
      <c r="X56" s="926">
        <v>717513</v>
      </c>
      <c r="Y56" s="927"/>
      <c r="Z56" s="926">
        <v>2823724</v>
      </c>
      <c r="AA56" s="927"/>
      <c r="AB56" s="926">
        <v>983177</v>
      </c>
      <c r="AC56" s="927"/>
      <c r="AD56" s="926">
        <v>3806901</v>
      </c>
      <c r="AE56" s="927"/>
      <c r="AF56" s="926">
        <v>22609080</v>
      </c>
      <c r="AG56" s="927"/>
    </row>
    <row r="57" spans="1:33">
      <c r="A57" s="919">
        <v>1997</v>
      </c>
      <c r="B57" s="920">
        <v>4983772</v>
      </c>
      <c r="C57" s="921"/>
      <c r="D57" s="920">
        <v>86915</v>
      </c>
      <c r="E57" s="921"/>
      <c r="F57" s="920">
        <v>3127997</v>
      </c>
      <c r="G57" s="921"/>
      <c r="H57" s="920">
        <v>3214912</v>
      </c>
      <c r="I57" s="921"/>
      <c r="J57" s="920">
        <v>1203179</v>
      </c>
      <c r="K57" s="921"/>
      <c r="L57" s="920">
        <v>1281620</v>
      </c>
      <c r="M57" s="921"/>
      <c r="N57" s="920">
        <v>7229259</v>
      </c>
      <c r="O57" s="921"/>
      <c r="P57" s="920">
        <v>8510879</v>
      </c>
      <c r="Q57" s="921"/>
      <c r="R57" s="920">
        <v>9714058</v>
      </c>
      <c r="S57" s="921"/>
      <c r="T57" s="920">
        <v>751470</v>
      </c>
      <c r="U57" s="921"/>
      <c r="V57" s="920">
        <v>8328</v>
      </c>
      <c r="W57" s="921"/>
      <c r="X57" s="920">
        <v>759798</v>
      </c>
      <c r="Y57" s="921"/>
      <c r="Z57" s="920">
        <v>3039227</v>
      </c>
      <c r="AA57" s="921"/>
      <c r="AB57" s="920">
        <v>1025575</v>
      </c>
      <c r="AC57" s="921"/>
      <c r="AD57" s="920">
        <v>4064803</v>
      </c>
      <c r="AE57" s="921"/>
      <c r="AF57" s="920">
        <v>22737343</v>
      </c>
      <c r="AG57" s="921"/>
    </row>
    <row r="58" spans="1:33">
      <c r="A58" s="919">
        <v>1998</v>
      </c>
      <c r="B58" s="920">
        <v>4520276</v>
      </c>
      <c r="C58" s="921"/>
      <c r="D58" s="920">
        <v>87220</v>
      </c>
      <c r="E58" s="921"/>
      <c r="F58" s="920">
        <v>2912271</v>
      </c>
      <c r="G58" s="921"/>
      <c r="H58" s="920">
        <v>2999491</v>
      </c>
      <c r="I58" s="921"/>
      <c r="J58" s="920">
        <v>1172680</v>
      </c>
      <c r="K58" s="921"/>
      <c r="L58" s="920">
        <v>1354986</v>
      </c>
      <c r="M58" s="921"/>
      <c r="N58" s="920">
        <v>6965421</v>
      </c>
      <c r="O58" s="921"/>
      <c r="P58" s="920">
        <v>8320407</v>
      </c>
      <c r="Q58" s="921"/>
      <c r="R58" s="920">
        <v>9493087</v>
      </c>
      <c r="S58" s="921"/>
      <c r="T58" s="920">
        <v>635477</v>
      </c>
      <c r="U58" s="921"/>
      <c r="V58" s="920">
        <v>9341</v>
      </c>
      <c r="W58" s="921"/>
      <c r="X58" s="920">
        <v>644818</v>
      </c>
      <c r="Y58" s="921"/>
      <c r="Z58" s="920">
        <v>3543931</v>
      </c>
      <c r="AA58" s="921"/>
      <c r="AB58" s="920">
        <v>1044352</v>
      </c>
      <c r="AC58" s="921"/>
      <c r="AD58" s="920">
        <v>4588284</v>
      </c>
      <c r="AE58" s="921"/>
      <c r="AF58" s="920">
        <v>22245956</v>
      </c>
      <c r="AG58" s="921"/>
    </row>
    <row r="59" spans="1:33">
      <c r="A59" s="925">
        <v>1999</v>
      </c>
      <c r="B59" s="926">
        <v>4725672</v>
      </c>
      <c r="C59" s="927"/>
      <c r="D59" s="926">
        <v>84037</v>
      </c>
      <c r="E59" s="927"/>
      <c r="F59" s="926">
        <v>2960621</v>
      </c>
      <c r="G59" s="927"/>
      <c r="H59" s="926">
        <v>3044658</v>
      </c>
      <c r="I59" s="927"/>
      <c r="J59" s="926">
        <v>1078989</v>
      </c>
      <c r="K59" s="927"/>
      <c r="L59" s="926">
        <v>1401374</v>
      </c>
      <c r="M59" s="927"/>
      <c r="N59" s="926">
        <v>6677985</v>
      </c>
      <c r="O59" s="927"/>
      <c r="P59" s="926">
        <v>8079359</v>
      </c>
      <c r="Q59" s="927"/>
      <c r="R59" s="926">
        <v>9158348</v>
      </c>
      <c r="S59" s="927"/>
      <c r="T59" s="926">
        <v>645319</v>
      </c>
      <c r="U59" s="927"/>
      <c r="V59" s="926">
        <v>11622</v>
      </c>
      <c r="W59" s="927"/>
      <c r="X59" s="926">
        <v>656941</v>
      </c>
      <c r="Y59" s="927"/>
      <c r="Z59" s="926">
        <v>3729175</v>
      </c>
      <c r="AA59" s="927"/>
      <c r="AB59" s="926">
        <v>1090356</v>
      </c>
      <c r="AC59" s="927"/>
      <c r="AD59" s="926">
        <v>4819531</v>
      </c>
      <c r="AE59" s="927"/>
      <c r="AF59" s="926">
        <v>22405150</v>
      </c>
      <c r="AG59" s="927"/>
    </row>
    <row r="60" spans="1:33">
      <c r="A60" s="919">
        <v>2000</v>
      </c>
      <c r="B60" s="920">
        <v>4996179</v>
      </c>
      <c r="C60" s="921"/>
      <c r="D60" s="920">
        <v>84874</v>
      </c>
      <c r="E60" s="921"/>
      <c r="F60" s="920">
        <v>3097595</v>
      </c>
      <c r="G60" s="921"/>
      <c r="H60" s="920">
        <v>3182469</v>
      </c>
      <c r="I60" s="921"/>
      <c r="J60" s="920">
        <v>1150948</v>
      </c>
      <c r="K60" s="921"/>
      <c r="L60" s="920">
        <v>1385546</v>
      </c>
      <c r="M60" s="921"/>
      <c r="N60" s="920">
        <v>6756694</v>
      </c>
      <c r="O60" s="921"/>
      <c r="P60" s="920">
        <v>8142240</v>
      </c>
      <c r="Q60" s="921"/>
      <c r="R60" s="920">
        <v>9293188</v>
      </c>
      <c r="S60" s="921"/>
      <c r="T60" s="920">
        <v>642210</v>
      </c>
      <c r="U60" s="921"/>
      <c r="V60" s="920">
        <v>12752</v>
      </c>
      <c r="W60" s="921"/>
      <c r="X60" s="920">
        <v>654962</v>
      </c>
      <c r="Y60" s="921"/>
      <c r="Z60" s="920">
        <v>4092729</v>
      </c>
      <c r="AA60" s="921"/>
      <c r="AB60" s="920">
        <v>1113595</v>
      </c>
      <c r="AC60" s="921"/>
      <c r="AD60" s="920">
        <v>5206324</v>
      </c>
      <c r="AE60" s="921"/>
      <c r="AF60" s="920">
        <v>23333122</v>
      </c>
      <c r="AG60" s="921"/>
    </row>
    <row r="61" spans="1:33">
      <c r="A61" s="919">
        <v>2001</v>
      </c>
      <c r="B61" s="920">
        <v>4771340</v>
      </c>
      <c r="C61" s="921"/>
      <c r="D61" s="920">
        <v>78655</v>
      </c>
      <c r="E61" s="921"/>
      <c r="F61" s="920">
        <v>2944057</v>
      </c>
      <c r="G61" s="921"/>
      <c r="H61" s="920">
        <v>3022712</v>
      </c>
      <c r="I61" s="921"/>
      <c r="J61" s="920">
        <v>1118552</v>
      </c>
      <c r="K61" s="921"/>
      <c r="L61" s="920">
        <v>1309636</v>
      </c>
      <c r="M61" s="921"/>
      <c r="N61" s="920">
        <v>6034583</v>
      </c>
      <c r="O61" s="921"/>
      <c r="P61" s="920">
        <v>7344219</v>
      </c>
      <c r="Q61" s="921"/>
      <c r="R61" s="920">
        <v>8462771</v>
      </c>
      <c r="S61" s="921"/>
      <c r="T61" s="920">
        <v>624964</v>
      </c>
      <c r="U61" s="921"/>
      <c r="V61" s="920">
        <v>14536</v>
      </c>
      <c r="W61" s="921"/>
      <c r="X61" s="920">
        <v>639500</v>
      </c>
      <c r="Y61" s="921"/>
      <c r="Z61" s="920">
        <v>4163930</v>
      </c>
      <c r="AA61" s="921"/>
      <c r="AB61" s="920">
        <v>1178371</v>
      </c>
      <c r="AC61" s="921"/>
      <c r="AD61" s="920">
        <v>5342301</v>
      </c>
      <c r="AE61" s="921"/>
      <c r="AF61" s="920">
        <v>22238624</v>
      </c>
      <c r="AG61" s="921"/>
    </row>
    <row r="62" spans="1:33">
      <c r="A62" s="925">
        <v>2002</v>
      </c>
      <c r="B62" s="926">
        <v>4888818</v>
      </c>
      <c r="C62" s="927"/>
      <c r="D62" s="926">
        <v>73975</v>
      </c>
      <c r="E62" s="927"/>
      <c r="F62" s="926">
        <v>3070196</v>
      </c>
      <c r="G62" s="929" t="s">
        <v>2294</v>
      </c>
      <c r="H62" s="926">
        <v>3144170</v>
      </c>
      <c r="I62" s="927"/>
      <c r="J62" s="926">
        <v>1113082</v>
      </c>
      <c r="K62" s="927"/>
      <c r="L62" s="926">
        <v>1240209</v>
      </c>
      <c r="M62" s="927"/>
      <c r="N62" s="926">
        <v>6286975</v>
      </c>
      <c r="O62" s="929" t="s">
        <v>2294</v>
      </c>
      <c r="P62" s="926">
        <v>7527184</v>
      </c>
      <c r="Q62" s="929" t="s">
        <v>2294</v>
      </c>
      <c r="R62" s="926">
        <v>8640266</v>
      </c>
      <c r="S62" s="929" t="s">
        <v>2294</v>
      </c>
      <c r="T62" s="926">
        <v>666920</v>
      </c>
      <c r="U62" s="927"/>
      <c r="V62" s="926">
        <v>14950</v>
      </c>
      <c r="W62" s="927"/>
      <c r="X62" s="926">
        <v>681869</v>
      </c>
      <c r="Y62" s="929" t="s">
        <v>2294</v>
      </c>
      <c r="Z62" s="926">
        <v>4258467</v>
      </c>
      <c r="AA62" s="927"/>
      <c r="AB62" s="926">
        <v>1413431</v>
      </c>
      <c r="AC62" s="927"/>
      <c r="AD62" s="926">
        <v>5671897</v>
      </c>
      <c r="AE62" s="927"/>
      <c r="AF62" s="926">
        <v>23027021</v>
      </c>
      <c r="AG62" s="929" t="s">
        <v>2294</v>
      </c>
    </row>
    <row r="63" spans="1:33">
      <c r="A63" s="919">
        <v>2003</v>
      </c>
      <c r="B63" s="920">
        <v>5079351</v>
      </c>
      <c r="C63" s="921"/>
      <c r="D63" s="920">
        <v>58453</v>
      </c>
      <c r="E63" s="921"/>
      <c r="F63" s="920">
        <v>3121040</v>
      </c>
      <c r="G63" s="921"/>
      <c r="H63" s="920">
        <v>3179493</v>
      </c>
      <c r="I63" s="921"/>
      <c r="J63" s="920">
        <v>1122283</v>
      </c>
      <c r="K63" s="921"/>
      <c r="L63" s="920">
        <v>1143734</v>
      </c>
      <c r="M63" s="921"/>
      <c r="N63" s="920">
        <v>6006662</v>
      </c>
      <c r="O63" s="921"/>
      <c r="P63" s="920">
        <v>7150396</v>
      </c>
      <c r="Q63" s="921"/>
      <c r="R63" s="920">
        <v>8272679</v>
      </c>
      <c r="S63" s="921"/>
      <c r="T63" s="920">
        <v>591492</v>
      </c>
      <c r="U63" s="921"/>
      <c r="V63" s="920">
        <v>18271</v>
      </c>
      <c r="W63" s="921"/>
      <c r="X63" s="920">
        <v>609763</v>
      </c>
      <c r="Y63" s="921"/>
      <c r="Z63" s="920">
        <v>3780314</v>
      </c>
      <c r="AA63" s="921"/>
      <c r="AB63" s="920">
        <v>1354901</v>
      </c>
      <c r="AC63" s="921"/>
      <c r="AD63" s="920">
        <v>5135215</v>
      </c>
      <c r="AE63" s="921"/>
      <c r="AF63" s="920">
        <v>22276502</v>
      </c>
      <c r="AG63" s="923" t="s">
        <v>2294</v>
      </c>
    </row>
    <row r="64" spans="1:33">
      <c r="A64" s="919">
        <v>2004</v>
      </c>
      <c r="B64" s="920">
        <v>4868797</v>
      </c>
      <c r="C64" s="921"/>
      <c r="D64" s="920">
        <v>72072</v>
      </c>
      <c r="E64" s="921"/>
      <c r="F64" s="920">
        <v>3056900</v>
      </c>
      <c r="G64" s="921"/>
      <c r="H64" s="920">
        <v>3128972</v>
      </c>
      <c r="I64" s="921"/>
      <c r="J64" s="920">
        <v>1097904</v>
      </c>
      <c r="K64" s="921"/>
      <c r="L64" s="920">
        <v>1190844</v>
      </c>
      <c r="M64" s="921"/>
      <c r="N64" s="920">
        <v>6065563</v>
      </c>
      <c r="O64" s="923" t="s">
        <v>2294</v>
      </c>
      <c r="P64" s="920">
        <v>7256408</v>
      </c>
      <c r="Q64" s="923" t="s">
        <v>2294</v>
      </c>
      <c r="R64" s="920">
        <v>8354312</v>
      </c>
      <c r="S64" s="923" t="s">
        <v>2294</v>
      </c>
      <c r="T64" s="920">
        <v>566187</v>
      </c>
      <c r="U64" s="921"/>
      <c r="V64" s="920">
        <v>20514</v>
      </c>
      <c r="W64" s="921"/>
      <c r="X64" s="920">
        <v>586701</v>
      </c>
      <c r="Y64" s="921"/>
      <c r="Z64" s="920">
        <v>4141535</v>
      </c>
      <c r="AA64" s="921"/>
      <c r="AB64" s="920">
        <v>1322228</v>
      </c>
      <c r="AC64" s="921"/>
      <c r="AD64" s="920">
        <v>5463763</v>
      </c>
      <c r="AE64" s="921"/>
      <c r="AF64" s="920">
        <v>22402546</v>
      </c>
      <c r="AG64" s="923" t="s">
        <v>2294</v>
      </c>
    </row>
    <row r="65" spans="1:33">
      <c r="A65" s="925">
        <v>2005</v>
      </c>
      <c r="B65" s="926">
        <v>4826775</v>
      </c>
      <c r="C65" s="927"/>
      <c r="D65" s="926">
        <v>67957</v>
      </c>
      <c r="E65" s="927"/>
      <c r="F65" s="926">
        <v>2930964</v>
      </c>
      <c r="G65" s="929" t="s">
        <v>2294</v>
      </c>
      <c r="H65" s="926">
        <v>2998920</v>
      </c>
      <c r="I65" s="927"/>
      <c r="J65" s="926">
        <v>1111517</v>
      </c>
      <c r="K65" s="927"/>
      <c r="L65" s="926">
        <v>1083607</v>
      </c>
      <c r="M65" s="927"/>
      <c r="N65" s="926">
        <v>5517560</v>
      </c>
      <c r="O65" s="929" t="s">
        <v>2294</v>
      </c>
      <c r="P65" s="926">
        <v>6601168</v>
      </c>
      <c r="Q65" s="929" t="s">
        <v>2294</v>
      </c>
      <c r="R65" s="926">
        <v>7712684</v>
      </c>
      <c r="S65" s="929" t="s">
        <v>2294</v>
      </c>
      <c r="T65" s="926">
        <v>584026</v>
      </c>
      <c r="U65" s="927"/>
      <c r="V65" s="926">
        <v>22884</v>
      </c>
      <c r="W65" s="927"/>
      <c r="X65" s="926">
        <v>606909</v>
      </c>
      <c r="Y65" s="929" t="s">
        <v>2294</v>
      </c>
      <c r="Z65" s="926">
        <v>4592271</v>
      </c>
      <c r="AA65" s="927"/>
      <c r="AB65" s="926">
        <v>1276874</v>
      </c>
      <c r="AC65" s="927"/>
      <c r="AD65" s="926">
        <v>5869145</v>
      </c>
      <c r="AE65" s="927"/>
      <c r="AF65" s="926">
        <v>22014434</v>
      </c>
      <c r="AG65" s="929" t="s">
        <v>2294</v>
      </c>
    </row>
    <row r="66" spans="1:33">
      <c r="A66" s="919">
        <v>2006</v>
      </c>
      <c r="B66" s="920">
        <v>4368466</v>
      </c>
      <c r="C66" s="921"/>
      <c r="D66" s="920">
        <v>67735</v>
      </c>
      <c r="E66" s="921"/>
      <c r="F66" s="920">
        <v>2764296</v>
      </c>
      <c r="G66" s="921"/>
      <c r="H66" s="920">
        <v>2832030</v>
      </c>
      <c r="I66" s="921"/>
      <c r="J66" s="920">
        <v>1141977</v>
      </c>
      <c r="K66" s="921"/>
      <c r="L66" s="920">
        <v>1114597</v>
      </c>
      <c r="M66" s="921"/>
      <c r="N66" s="920">
        <v>5411948</v>
      </c>
      <c r="O66" s="923" t="s">
        <v>2294</v>
      </c>
      <c r="P66" s="920">
        <v>6526546</v>
      </c>
      <c r="Q66" s="923" t="s">
        <v>2294</v>
      </c>
      <c r="R66" s="920">
        <v>7668523</v>
      </c>
      <c r="S66" s="923" t="s">
        <v>2294</v>
      </c>
      <c r="T66" s="920">
        <v>584213</v>
      </c>
      <c r="U66" s="921"/>
      <c r="V66" s="920">
        <v>23739</v>
      </c>
      <c r="W66" s="921"/>
      <c r="X66" s="920">
        <v>607952</v>
      </c>
      <c r="Y66" s="921"/>
      <c r="Z66" s="920">
        <v>5091049</v>
      </c>
      <c r="AA66" s="921"/>
      <c r="AB66" s="920">
        <v>1131051</v>
      </c>
      <c r="AC66" s="921"/>
      <c r="AD66" s="920">
        <v>6222100</v>
      </c>
      <c r="AE66" s="921"/>
      <c r="AF66" s="920">
        <v>21699071</v>
      </c>
      <c r="AG66" s="923" t="s">
        <v>2294</v>
      </c>
    </row>
    <row r="67" spans="1:33">
      <c r="A67" s="919">
        <v>2007</v>
      </c>
      <c r="B67" s="920">
        <v>4722358</v>
      </c>
      <c r="C67" s="921"/>
      <c r="D67" s="920">
        <v>70074</v>
      </c>
      <c r="E67" s="921"/>
      <c r="F67" s="920">
        <v>2942830</v>
      </c>
      <c r="G67" s="921"/>
      <c r="H67" s="920">
        <v>3012904</v>
      </c>
      <c r="I67" s="921"/>
      <c r="J67" s="920">
        <v>1226386</v>
      </c>
      <c r="K67" s="921"/>
      <c r="L67" s="920">
        <v>1050439</v>
      </c>
      <c r="M67" s="921"/>
      <c r="N67" s="920">
        <v>5604277</v>
      </c>
      <c r="O67" s="923" t="s">
        <v>2294</v>
      </c>
      <c r="P67" s="920">
        <v>6654716</v>
      </c>
      <c r="Q67" s="923" t="s">
        <v>2294</v>
      </c>
      <c r="R67" s="920">
        <v>7881102</v>
      </c>
      <c r="S67" s="923" t="s">
        <v>2294</v>
      </c>
      <c r="T67" s="920">
        <v>621364</v>
      </c>
      <c r="U67" s="921"/>
      <c r="V67" s="920">
        <v>24655</v>
      </c>
      <c r="W67" s="921"/>
      <c r="X67" s="920">
        <v>646020</v>
      </c>
      <c r="Y67" s="921"/>
      <c r="Z67" s="920">
        <v>5611600</v>
      </c>
      <c r="AA67" s="921"/>
      <c r="AB67" s="920">
        <v>1229808</v>
      </c>
      <c r="AC67" s="921"/>
      <c r="AD67" s="920">
        <v>6841408</v>
      </c>
      <c r="AE67" s="921"/>
      <c r="AF67" s="920">
        <v>23103793</v>
      </c>
      <c r="AG67" s="923" t="s">
        <v>2294</v>
      </c>
    </row>
    <row r="68" spans="1:33">
      <c r="A68" s="925">
        <v>2008</v>
      </c>
      <c r="B68" s="926">
        <v>4892277</v>
      </c>
      <c r="C68" s="927"/>
      <c r="D68" s="926">
        <v>66216</v>
      </c>
      <c r="E68" s="927"/>
      <c r="F68" s="926">
        <v>3086314</v>
      </c>
      <c r="G68" s="927"/>
      <c r="H68" s="926">
        <v>3152529</v>
      </c>
      <c r="I68" s="927"/>
      <c r="J68" s="926">
        <v>1219703</v>
      </c>
      <c r="K68" s="927"/>
      <c r="L68" s="926">
        <v>954785</v>
      </c>
      <c r="M68" s="927"/>
      <c r="N68" s="926">
        <v>5715397</v>
      </c>
      <c r="O68" s="929" t="s">
        <v>2294</v>
      </c>
      <c r="P68" s="926">
        <v>6670182</v>
      </c>
      <c r="Q68" s="929" t="s">
        <v>2294</v>
      </c>
      <c r="R68" s="926">
        <v>7889885</v>
      </c>
      <c r="S68" s="929" t="s">
        <v>2294</v>
      </c>
      <c r="T68" s="926">
        <v>647956</v>
      </c>
      <c r="U68" s="927"/>
      <c r="V68" s="926">
        <v>25982</v>
      </c>
      <c r="W68" s="927"/>
      <c r="X68" s="926">
        <v>673938</v>
      </c>
      <c r="Y68" s="927"/>
      <c r="Z68" s="926">
        <v>5520491</v>
      </c>
      <c r="AA68" s="927"/>
      <c r="AB68" s="926">
        <v>1147887</v>
      </c>
      <c r="AC68" s="927"/>
      <c r="AD68" s="926">
        <v>6668379</v>
      </c>
      <c r="AE68" s="927"/>
      <c r="AF68" s="926">
        <v>23277008</v>
      </c>
      <c r="AG68" s="929" t="s">
        <v>2294</v>
      </c>
    </row>
    <row r="69" spans="1:33">
      <c r="A69" s="919">
        <v>2009</v>
      </c>
      <c r="B69" s="920">
        <v>4778907</v>
      </c>
      <c r="C69" s="923" t="s">
        <v>2294</v>
      </c>
      <c r="D69" s="920">
        <v>75555</v>
      </c>
      <c r="E69" s="921"/>
      <c r="F69" s="920">
        <v>3043038</v>
      </c>
      <c r="G69" s="923" t="s">
        <v>2294</v>
      </c>
      <c r="H69" s="920">
        <v>3118592</v>
      </c>
      <c r="I69" s="923" t="s">
        <v>2294</v>
      </c>
      <c r="J69" s="920">
        <v>1275238</v>
      </c>
      <c r="K69" s="921"/>
      <c r="L69" s="920">
        <v>989769</v>
      </c>
      <c r="M69" s="921"/>
      <c r="N69" s="920">
        <v>5177603</v>
      </c>
      <c r="O69" s="923" t="s">
        <v>2294</v>
      </c>
      <c r="P69" s="920">
        <v>6167371</v>
      </c>
      <c r="Q69" s="923" t="s">
        <v>2294</v>
      </c>
      <c r="R69" s="920">
        <v>7442610</v>
      </c>
      <c r="S69" s="923" t="s">
        <v>2294</v>
      </c>
      <c r="T69" s="920">
        <v>670174</v>
      </c>
      <c r="U69" s="923" t="s">
        <v>2294</v>
      </c>
      <c r="V69" s="920">
        <v>27262</v>
      </c>
      <c r="W69" s="923" t="s">
        <v>2294</v>
      </c>
      <c r="X69" s="920">
        <v>697436</v>
      </c>
      <c r="Y69" s="923" t="s">
        <v>2294</v>
      </c>
      <c r="Z69" s="920">
        <v>5750589</v>
      </c>
      <c r="AA69" s="921"/>
      <c r="AB69" s="920">
        <v>1121944</v>
      </c>
      <c r="AC69" s="921"/>
      <c r="AD69" s="920">
        <v>6872533</v>
      </c>
      <c r="AE69" s="921"/>
      <c r="AF69" s="920">
        <v>22910078</v>
      </c>
      <c r="AG69" s="923" t="s">
        <v>2294</v>
      </c>
    </row>
    <row r="70" spans="1:33">
      <c r="A70" s="919">
        <v>2010</v>
      </c>
      <c r="B70" s="920">
        <v>4787320</v>
      </c>
      <c r="C70" s="923" t="s">
        <v>2294</v>
      </c>
      <c r="D70" s="920">
        <v>85786</v>
      </c>
      <c r="E70" s="923" t="s">
        <v>2294</v>
      </c>
      <c r="F70" s="920">
        <v>3015889</v>
      </c>
      <c r="G70" s="923" t="s">
        <v>2294</v>
      </c>
      <c r="H70" s="920">
        <v>3101675</v>
      </c>
      <c r="I70" s="923" t="s">
        <v>2294</v>
      </c>
      <c r="J70" s="920">
        <v>1282216</v>
      </c>
      <c r="K70" s="923" t="s">
        <v>2294</v>
      </c>
      <c r="L70" s="920">
        <v>1028990</v>
      </c>
      <c r="M70" s="923" t="s">
        <v>2294</v>
      </c>
      <c r="N70" s="920">
        <v>5488487</v>
      </c>
      <c r="O70" s="923" t="s">
        <v>2294</v>
      </c>
      <c r="P70" s="920">
        <v>6517477</v>
      </c>
      <c r="Q70" s="923" t="s">
        <v>2294</v>
      </c>
      <c r="R70" s="920">
        <v>7799693</v>
      </c>
      <c r="S70" s="923" t="s">
        <v>2294</v>
      </c>
      <c r="T70" s="920">
        <v>668847</v>
      </c>
      <c r="U70" s="923" t="s">
        <v>2294</v>
      </c>
      <c r="V70" s="920">
        <v>30670</v>
      </c>
      <c r="W70" s="923" t="s">
        <v>2294</v>
      </c>
      <c r="X70" s="920">
        <v>699516</v>
      </c>
      <c r="Y70" s="923" t="s">
        <v>2294</v>
      </c>
      <c r="Z70" s="920">
        <v>6239466</v>
      </c>
      <c r="AA70" s="923" t="s">
        <v>2294</v>
      </c>
      <c r="AB70" s="920">
        <v>1147719</v>
      </c>
      <c r="AC70" s="923" t="s">
        <v>2294</v>
      </c>
      <c r="AD70" s="920">
        <v>7387184</v>
      </c>
      <c r="AE70" s="923" t="s">
        <v>2294</v>
      </c>
      <c r="AF70" s="920">
        <v>23775388</v>
      </c>
      <c r="AG70" s="923" t="s">
        <v>2294</v>
      </c>
    </row>
    <row r="71" spans="1:33">
      <c r="A71" s="925" t="s">
        <v>2295</v>
      </c>
      <c r="B71" s="926">
        <v>4734604</v>
      </c>
      <c r="C71" s="927"/>
      <c r="D71" s="926">
        <v>81433</v>
      </c>
      <c r="E71" s="927"/>
      <c r="F71" s="926">
        <v>3079971</v>
      </c>
      <c r="G71" s="927"/>
      <c r="H71" s="926">
        <v>3161404</v>
      </c>
      <c r="I71" s="927"/>
      <c r="J71" s="926">
        <v>1383379</v>
      </c>
      <c r="K71" s="927"/>
      <c r="L71" s="926">
        <v>1023670</v>
      </c>
      <c r="M71" s="927"/>
      <c r="N71" s="926">
        <v>5745756</v>
      </c>
      <c r="O71" s="927"/>
      <c r="P71" s="926">
        <v>6769426</v>
      </c>
      <c r="Q71" s="927"/>
      <c r="R71" s="926">
        <v>8152805</v>
      </c>
      <c r="S71" s="927"/>
      <c r="T71" s="926">
        <v>685550</v>
      </c>
      <c r="U71" s="927"/>
      <c r="V71" s="926">
        <v>32850</v>
      </c>
      <c r="W71" s="927"/>
      <c r="X71" s="926">
        <v>718400</v>
      </c>
      <c r="Y71" s="927"/>
      <c r="Z71" s="926">
        <v>6439729</v>
      </c>
      <c r="AA71" s="927"/>
      <c r="AB71" s="926">
        <v>1162196</v>
      </c>
      <c r="AC71" s="927"/>
      <c r="AD71" s="926">
        <v>7601926</v>
      </c>
      <c r="AE71" s="927"/>
      <c r="AF71" s="926">
        <v>24369139</v>
      </c>
      <c r="AG71" s="927"/>
    </row>
    <row r="72" spans="1:33">
      <c r="A72" s="1116" t="s">
        <v>2296</v>
      </c>
      <c r="B72" s="1117"/>
      <c r="C72" s="1117"/>
      <c r="D72" s="1117"/>
      <c r="E72" s="1117"/>
      <c r="F72" s="1117"/>
      <c r="G72" s="1117"/>
      <c r="H72" s="1117"/>
      <c r="I72" s="1117"/>
      <c r="J72" s="1117"/>
      <c r="K72" s="1117"/>
      <c r="L72" s="1117"/>
      <c r="M72" s="1117"/>
      <c r="N72" s="1117"/>
      <c r="O72" s="1117"/>
      <c r="P72" s="1117"/>
      <c r="Q72" s="1117" t="s">
        <v>2297</v>
      </c>
      <c r="R72" s="1117"/>
      <c r="S72" s="1117"/>
      <c r="T72" s="1117"/>
      <c r="U72" s="1117"/>
      <c r="V72" s="1117"/>
      <c r="W72" s="1117"/>
      <c r="X72" s="1117"/>
      <c r="Y72" s="1117"/>
      <c r="Z72" s="1117"/>
      <c r="AA72" s="1117"/>
      <c r="AB72" s="1117"/>
      <c r="AC72" s="1117"/>
      <c r="AD72" s="1117"/>
      <c r="AE72" s="1117"/>
      <c r="AF72" s="1117"/>
      <c r="AG72" s="1118"/>
    </row>
    <row r="73" spans="1:33">
      <c r="A73" s="1121" t="s">
        <v>2298</v>
      </c>
      <c r="B73" s="1122"/>
      <c r="C73" s="1122"/>
      <c r="D73" s="1122"/>
      <c r="E73" s="1122"/>
      <c r="F73" s="1122"/>
      <c r="G73" s="1122"/>
      <c r="H73" s="1122"/>
      <c r="I73" s="1122"/>
      <c r="J73" s="1122"/>
      <c r="K73" s="1122"/>
      <c r="L73" s="1122"/>
      <c r="M73" s="1122"/>
      <c r="N73" s="1122"/>
      <c r="O73" s="1122"/>
      <c r="P73" s="1122"/>
      <c r="Q73" s="1119"/>
      <c r="R73" s="1119"/>
      <c r="S73" s="1119"/>
      <c r="T73" s="1119"/>
      <c r="U73" s="1119"/>
      <c r="V73" s="1119"/>
      <c r="W73" s="1119"/>
      <c r="X73" s="1119"/>
      <c r="Y73" s="1119"/>
      <c r="Z73" s="1119"/>
      <c r="AA73" s="1119"/>
      <c r="AB73" s="1119"/>
      <c r="AC73" s="1119"/>
      <c r="AD73" s="1119"/>
      <c r="AE73" s="1119"/>
      <c r="AF73" s="1119"/>
      <c r="AG73" s="1120"/>
    </row>
    <row r="74" spans="1:33">
      <c r="A74" s="1121" t="s">
        <v>2299</v>
      </c>
      <c r="B74" s="1122"/>
      <c r="C74" s="1122"/>
      <c r="D74" s="1122"/>
      <c r="E74" s="1122"/>
      <c r="F74" s="1122"/>
      <c r="G74" s="1122"/>
      <c r="H74" s="1122"/>
      <c r="I74" s="1122"/>
      <c r="J74" s="1122"/>
      <c r="K74" s="1122"/>
      <c r="L74" s="1122"/>
      <c r="M74" s="1122"/>
      <c r="N74" s="1122"/>
      <c r="O74" s="1122"/>
      <c r="P74" s="1122"/>
      <c r="Q74" s="1119"/>
      <c r="R74" s="1119"/>
      <c r="S74" s="1119"/>
      <c r="T74" s="1119"/>
      <c r="U74" s="1119"/>
      <c r="V74" s="1119"/>
      <c r="W74" s="1119"/>
      <c r="X74" s="1119"/>
      <c r="Y74" s="1119"/>
      <c r="Z74" s="1119"/>
      <c r="AA74" s="1119"/>
      <c r="AB74" s="1119"/>
      <c r="AC74" s="1119"/>
      <c r="AD74" s="1119"/>
      <c r="AE74" s="1119"/>
      <c r="AF74" s="1119"/>
      <c r="AG74" s="1120"/>
    </row>
    <row r="75" spans="1:33">
      <c r="A75" s="1121" t="s">
        <v>2300</v>
      </c>
      <c r="B75" s="1122"/>
      <c r="C75" s="1122"/>
      <c r="D75" s="1122"/>
      <c r="E75" s="1122"/>
      <c r="F75" s="1122"/>
      <c r="G75" s="1122"/>
      <c r="H75" s="1122"/>
      <c r="I75" s="1122"/>
      <c r="J75" s="1122"/>
      <c r="K75" s="1122"/>
      <c r="L75" s="1122"/>
      <c r="M75" s="1122"/>
      <c r="N75" s="1122"/>
      <c r="O75" s="1122"/>
      <c r="P75" s="1122"/>
      <c r="Q75" s="1119"/>
      <c r="R75" s="1119"/>
      <c r="S75" s="1119"/>
      <c r="T75" s="1119"/>
      <c r="U75" s="1119"/>
      <c r="V75" s="1119"/>
      <c r="W75" s="1119"/>
      <c r="X75" s="1119"/>
      <c r="Y75" s="1119"/>
      <c r="Z75" s="1119"/>
      <c r="AA75" s="1119"/>
      <c r="AB75" s="1119"/>
      <c r="AC75" s="1119"/>
      <c r="AD75" s="1119"/>
      <c r="AE75" s="1119"/>
      <c r="AF75" s="1119"/>
      <c r="AG75" s="1120"/>
    </row>
    <row r="76" spans="1:33">
      <c r="A76" s="1125" t="s">
        <v>2301</v>
      </c>
      <c r="B76" s="1119"/>
      <c r="C76" s="1119"/>
      <c r="D76" s="1119"/>
      <c r="E76" s="1119"/>
      <c r="F76" s="1119"/>
      <c r="G76" s="1119"/>
      <c r="H76" s="1119"/>
      <c r="I76" s="1119"/>
      <c r="J76" s="1119"/>
      <c r="K76" s="1119"/>
      <c r="L76" s="1119"/>
      <c r="M76" s="1119"/>
      <c r="N76" s="1119"/>
      <c r="O76" s="1119"/>
      <c r="P76" s="1119"/>
      <c r="Q76" s="1119" t="s">
        <v>2302</v>
      </c>
      <c r="R76" s="1119"/>
      <c r="S76" s="1119"/>
      <c r="T76" s="1119"/>
      <c r="U76" s="1119"/>
      <c r="V76" s="1119"/>
      <c r="W76" s="1119"/>
      <c r="X76" s="1119"/>
      <c r="Y76" s="1119"/>
      <c r="Z76" s="1119"/>
      <c r="AA76" s="1119"/>
      <c r="AB76" s="1119"/>
      <c r="AC76" s="1119"/>
      <c r="AD76" s="1119"/>
      <c r="AE76" s="1119"/>
      <c r="AF76" s="1119"/>
      <c r="AG76" s="1120"/>
    </row>
    <row r="77" spans="1:33">
      <c r="A77" s="1125" t="s">
        <v>2303</v>
      </c>
      <c r="B77" s="1119"/>
      <c r="C77" s="1119"/>
      <c r="D77" s="1119"/>
      <c r="E77" s="1119"/>
      <c r="F77" s="1119"/>
      <c r="G77" s="1119"/>
      <c r="H77" s="1119"/>
      <c r="I77" s="1119"/>
      <c r="J77" s="1119"/>
      <c r="K77" s="1119"/>
      <c r="L77" s="1119"/>
      <c r="M77" s="1119"/>
      <c r="N77" s="1119"/>
      <c r="O77" s="1119"/>
      <c r="P77" s="1119"/>
      <c r="Q77" s="1119" t="s">
        <v>2304</v>
      </c>
      <c r="R77" s="1119"/>
      <c r="S77" s="1119"/>
      <c r="T77" s="1119"/>
      <c r="U77" s="1119"/>
      <c r="V77" s="1119"/>
      <c r="W77" s="1119"/>
      <c r="X77" s="1119"/>
      <c r="Y77" s="1119"/>
      <c r="Z77" s="1119"/>
      <c r="AA77" s="1119"/>
      <c r="AB77" s="1119"/>
      <c r="AC77" s="1119"/>
      <c r="AD77" s="1119"/>
      <c r="AE77" s="1119"/>
      <c r="AF77" s="1119"/>
      <c r="AG77" s="1120"/>
    </row>
    <row r="78" spans="1:33">
      <c r="A78" s="1125"/>
      <c r="B78" s="1119"/>
      <c r="C78" s="1119"/>
      <c r="D78" s="1119"/>
      <c r="E78" s="1119"/>
      <c r="F78" s="1119"/>
      <c r="G78" s="1119"/>
      <c r="H78" s="1119"/>
      <c r="I78" s="1119"/>
      <c r="J78" s="1119"/>
      <c r="K78" s="1119"/>
      <c r="L78" s="1119"/>
      <c r="M78" s="1119"/>
      <c r="N78" s="1119"/>
      <c r="O78" s="1119"/>
      <c r="P78" s="1119"/>
      <c r="Q78" s="1122" t="s">
        <v>2305</v>
      </c>
      <c r="R78" s="1122"/>
      <c r="S78" s="1122"/>
      <c r="T78" s="1122"/>
      <c r="U78" s="1122"/>
      <c r="V78" s="1122"/>
      <c r="W78" s="1122"/>
      <c r="X78" s="1122"/>
      <c r="Y78" s="1122"/>
      <c r="Z78" s="1122"/>
      <c r="AA78" s="1122"/>
      <c r="AB78" s="1122"/>
      <c r="AC78" s="1122"/>
      <c r="AD78" s="1122"/>
      <c r="AE78" s="1122"/>
      <c r="AF78" s="1122"/>
      <c r="AG78" s="1126"/>
    </row>
    <row r="79" spans="1:33">
      <c r="A79" s="1125"/>
      <c r="B79" s="1119"/>
      <c r="C79" s="1119"/>
      <c r="D79" s="1119"/>
      <c r="E79" s="1119"/>
      <c r="F79" s="1119"/>
      <c r="G79" s="1119"/>
      <c r="H79" s="1119"/>
      <c r="I79" s="1119"/>
      <c r="J79" s="1119"/>
      <c r="K79" s="1119"/>
      <c r="L79" s="1119"/>
      <c r="M79" s="1119"/>
      <c r="N79" s="1119"/>
      <c r="O79" s="1119"/>
      <c r="P79" s="1119"/>
      <c r="Q79" s="1122" t="s">
        <v>2306</v>
      </c>
      <c r="R79" s="1122"/>
      <c r="S79" s="1122"/>
      <c r="T79" s="1122"/>
      <c r="U79" s="1122"/>
      <c r="V79" s="1122"/>
      <c r="W79" s="1122"/>
      <c r="X79" s="1122"/>
      <c r="Y79" s="1122"/>
      <c r="Z79" s="1122"/>
      <c r="AA79" s="1122"/>
      <c r="AB79" s="1122"/>
      <c r="AC79" s="1122"/>
      <c r="AD79" s="1122"/>
      <c r="AE79" s="1122"/>
      <c r="AF79" s="1122"/>
      <c r="AG79" s="1126"/>
    </row>
    <row r="80" spans="1:33">
      <c r="A80" s="1125" t="s">
        <v>2307</v>
      </c>
      <c r="B80" s="1119"/>
      <c r="C80" s="1119"/>
      <c r="D80" s="1119"/>
      <c r="E80" s="1119"/>
      <c r="F80" s="1119"/>
      <c r="G80" s="1119"/>
      <c r="H80" s="1119"/>
      <c r="I80" s="1119"/>
      <c r="J80" s="1119"/>
      <c r="K80" s="1119"/>
      <c r="L80" s="1119"/>
      <c r="M80" s="1119"/>
      <c r="N80" s="1119"/>
      <c r="O80" s="1119"/>
      <c r="P80" s="1119"/>
      <c r="Q80" s="1122" t="s">
        <v>2308</v>
      </c>
      <c r="R80" s="1122"/>
      <c r="S80" s="1122"/>
      <c r="T80" s="1122"/>
      <c r="U80" s="1122"/>
      <c r="V80" s="1122"/>
      <c r="W80" s="1122"/>
      <c r="X80" s="1122"/>
      <c r="Y80" s="1122"/>
      <c r="Z80" s="1122"/>
      <c r="AA80" s="1122"/>
      <c r="AB80" s="1122"/>
      <c r="AC80" s="1122"/>
      <c r="AD80" s="1122"/>
      <c r="AE80" s="1122"/>
      <c r="AF80" s="1122"/>
      <c r="AG80" s="1126"/>
    </row>
    <row r="81" spans="1:33">
      <c r="A81" s="1125" t="s">
        <v>2309</v>
      </c>
      <c r="B81" s="1119"/>
      <c r="C81" s="1119"/>
      <c r="D81" s="1119"/>
      <c r="E81" s="1119"/>
      <c r="F81" s="1119"/>
      <c r="G81" s="1119"/>
      <c r="H81" s="1119"/>
      <c r="I81" s="1119"/>
      <c r="J81" s="1119"/>
      <c r="K81" s="1119"/>
      <c r="L81" s="1119"/>
      <c r="M81" s="1119"/>
      <c r="N81" s="1119"/>
      <c r="O81" s="1119"/>
      <c r="P81" s="1119"/>
      <c r="Q81" s="1122" t="s">
        <v>2310</v>
      </c>
      <c r="R81" s="1122"/>
      <c r="S81" s="1122"/>
      <c r="T81" s="1122"/>
      <c r="U81" s="1122"/>
      <c r="V81" s="1122"/>
      <c r="W81" s="1122"/>
      <c r="X81" s="1122"/>
      <c r="Y81" s="1122"/>
      <c r="Z81" s="1122"/>
      <c r="AA81" s="1122"/>
      <c r="AB81" s="1122"/>
      <c r="AC81" s="1122"/>
      <c r="AD81" s="1122"/>
      <c r="AE81" s="1122"/>
      <c r="AF81" s="1122"/>
      <c r="AG81" s="1126"/>
    </row>
    <row r="82" spans="1:33">
      <c r="A82" s="1125"/>
      <c r="B82" s="1119"/>
      <c r="C82" s="1119"/>
      <c r="D82" s="1119"/>
      <c r="E82" s="1119"/>
      <c r="F82" s="1119"/>
      <c r="G82" s="1119"/>
      <c r="H82" s="1119"/>
      <c r="I82" s="1119"/>
      <c r="J82" s="1119"/>
      <c r="K82" s="1119"/>
      <c r="L82" s="1119"/>
      <c r="M82" s="1119"/>
      <c r="N82" s="1119"/>
      <c r="O82" s="1119"/>
      <c r="P82" s="1119"/>
      <c r="Q82" s="1122" t="s">
        <v>2311</v>
      </c>
      <c r="R82" s="1122"/>
      <c r="S82" s="1122"/>
      <c r="T82" s="1122"/>
      <c r="U82" s="1122"/>
      <c r="V82" s="1122"/>
      <c r="W82" s="1122"/>
      <c r="X82" s="1122"/>
      <c r="Y82" s="1122"/>
      <c r="Z82" s="1122"/>
      <c r="AA82" s="1122"/>
      <c r="AB82" s="1122"/>
      <c r="AC82" s="1122"/>
      <c r="AD82" s="1122"/>
      <c r="AE82" s="1122"/>
      <c r="AF82" s="1122"/>
      <c r="AG82" s="1126"/>
    </row>
    <row r="83" spans="1:33">
      <c r="A83" s="1125"/>
      <c r="B83" s="1119"/>
      <c r="C83" s="1119"/>
      <c r="D83" s="1119"/>
      <c r="E83" s="1119"/>
      <c r="F83" s="1119"/>
      <c r="G83" s="1119"/>
      <c r="H83" s="1119"/>
      <c r="I83" s="1119"/>
      <c r="J83" s="1119"/>
      <c r="K83" s="1119"/>
      <c r="L83" s="1119"/>
      <c r="M83" s="1119"/>
      <c r="N83" s="1119"/>
      <c r="O83" s="1119"/>
      <c r="P83" s="1119"/>
      <c r="Q83" s="1122" t="s">
        <v>2312</v>
      </c>
      <c r="R83" s="1122"/>
      <c r="S83" s="1122"/>
      <c r="T83" s="1122"/>
      <c r="U83" s="1122"/>
      <c r="V83" s="1122"/>
      <c r="W83" s="1122"/>
      <c r="X83" s="1122"/>
      <c r="Y83" s="1122"/>
      <c r="Z83" s="1122"/>
      <c r="AA83" s="1122"/>
      <c r="AB83" s="1122"/>
      <c r="AC83" s="1122"/>
      <c r="AD83" s="1122"/>
      <c r="AE83" s="1122"/>
      <c r="AF83" s="1122"/>
      <c r="AG83" s="1126"/>
    </row>
    <row r="84" spans="1:33">
      <c r="A84" s="1125"/>
      <c r="B84" s="1119"/>
      <c r="C84" s="1119"/>
      <c r="D84" s="1119"/>
      <c r="E84" s="1119"/>
      <c r="F84" s="1119"/>
      <c r="G84" s="1119"/>
      <c r="H84" s="1119"/>
      <c r="I84" s="1119"/>
      <c r="J84" s="1119"/>
      <c r="K84" s="1119"/>
      <c r="L84" s="1119"/>
      <c r="M84" s="1119"/>
      <c r="N84" s="1119"/>
      <c r="O84" s="1119"/>
      <c r="P84" s="1119"/>
      <c r="Q84" s="1127" t="s">
        <v>2313</v>
      </c>
      <c r="R84" s="1127"/>
      <c r="S84" s="1127"/>
      <c r="T84" s="1127"/>
      <c r="U84" s="1127"/>
      <c r="V84" s="1127"/>
      <c r="W84" s="1127"/>
      <c r="X84" s="1127"/>
      <c r="Y84" s="1127"/>
      <c r="Z84" s="1127"/>
      <c r="AA84" s="1127"/>
      <c r="AB84" s="1127"/>
      <c r="AC84" s="1127"/>
      <c r="AD84" s="1127"/>
      <c r="AE84" s="1127"/>
      <c r="AF84" s="1127"/>
      <c r="AG84" s="1128"/>
    </row>
    <row r="85" spans="1:33">
      <c r="A85" s="1125"/>
      <c r="B85" s="1119"/>
      <c r="C85" s="1119"/>
      <c r="D85" s="1119"/>
      <c r="E85" s="1119"/>
      <c r="F85" s="1119"/>
      <c r="G85" s="1119"/>
      <c r="H85" s="1119"/>
      <c r="I85" s="1119"/>
      <c r="J85" s="1119"/>
      <c r="K85" s="1119"/>
      <c r="L85" s="1119"/>
      <c r="M85" s="1119"/>
      <c r="N85" s="1119"/>
      <c r="O85" s="1119"/>
      <c r="P85" s="1119"/>
      <c r="Q85" s="1122" t="s">
        <v>2314</v>
      </c>
      <c r="R85" s="1122"/>
      <c r="S85" s="1122"/>
      <c r="T85" s="1122"/>
      <c r="U85" s="1122"/>
      <c r="V85" s="1122"/>
      <c r="W85" s="1122"/>
      <c r="X85" s="1122"/>
      <c r="Y85" s="1122"/>
      <c r="Z85" s="1122"/>
      <c r="AA85" s="1122"/>
      <c r="AB85" s="1122"/>
      <c r="AC85" s="1122"/>
      <c r="AD85" s="1122"/>
      <c r="AE85" s="1122"/>
      <c r="AF85" s="1122"/>
      <c r="AG85" s="1126"/>
    </row>
    <row r="86" spans="1:33">
      <c r="A86" s="1125"/>
      <c r="B86" s="1119"/>
      <c r="C86" s="1119"/>
      <c r="D86" s="1119"/>
      <c r="E86" s="1119"/>
      <c r="F86" s="1119"/>
      <c r="G86" s="1119"/>
      <c r="H86" s="1119"/>
      <c r="I86" s="1119"/>
      <c r="J86" s="1119"/>
      <c r="K86" s="1119"/>
      <c r="L86" s="1119"/>
      <c r="M86" s="1119"/>
      <c r="N86" s="1119"/>
      <c r="O86" s="1119"/>
      <c r="P86" s="1119"/>
      <c r="Q86" s="1122" t="s">
        <v>2315</v>
      </c>
      <c r="R86" s="1122"/>
      <c r="S86" s="1122"/>
      <c r="T86" s="1122"/>
      <c r="U86" s="1122"/>
      <c r="V86" s="1122"/>
      <c r="W86" s="1122"/>
      <c r="X86" s="1122"/>
      <c r="Y86" s="1122"/>
      <c r="Z86" s="1122"/>
      <c r="AA86" s="1122"/>
      <c r="AB86" s="1122"/>
      <c r="AC86" s="1122"/>
      <c r="AD86" s="1122"/>
      <c r="AE86" s="1122"/>
      <c r="AF86" s="1122"/>
      <c r="AG86" s="1126"/>
    </row>
    <row r="87" spans="1:33" ht="15" customHeight="1">
      <c r="A87" s="1125" t="s">
        <v>2316</v>
      </c>
      <c r="B87" s="1119"/>
      <c r="C87" s="1119"/>
      <c r="D87" s="1119"/>
      <c r="E87" s="1119"/>
      <c r="F87" s="1119"/>
      <c r="G87" s="1119"/>
      <c r="H87" s="1119"/>
      <c r="I87" s="1119"/>
      <c r="J87" s="1119"/>
      <c r="K87" s="1119"/>
      <c r="L87" s="1119"/>
      <c r="M87" s="1119"/>
      <c r="N87" s="1119"/>
      <c r="O87" s="1119"/>
      <c r="P87" s="1119"/>
      <c r="Q87" s="1137" t="s">
        <v>2317</v>
      </c>
      <c r="R87" s="1137"/>
      <c r="S87" s="1137"/>
      <c r="T87" s="1137"/>
      <c r="U87" s="1137"/>
      <c r="V87" s="1137"/>
      <c r="W87" s="1137"/>
      <c r="X87" s="1137"/>
      <c r="Y87" s="1137"/>
      <c r="Z87" s="1137"/>
      <c r="AA87" s="1137"/>
      <c r="AB87" s="1137"/>
      <c r="AC87" s="1137"/>
      <c r="AD87" s="1137"/>
      <c r="AE87" s="1137"/>
      <c r="AF87" s="1137"/>
      <c r="AG87" s="1138"/>
    </row>
    <row r="88" spans="1:33" ht="15" customHeight="1">
      <c r="A88" s="1125"/>
      <c r="B88" s="1119"/>
      <c r="C88" s="1119"/>
      <c r="D88" s="1119"/>
      <c r="E88" s="1119"/>
      <c r="F88" s="1119"/>
      <c r="G88" s="1119"/>
      <c r="H88" s="1119"/>
      <c r="I88" s="1119"/>
      <c r="J88" s="1119"/>
      <c r="K88" s="1119"/>
      <c r="L88" s="1119"/>
      <c r="M88" s="1119"/>
      <c r="N88" s="1119"/>
      <c r="O88" s="1119"/>
      <c r="P88" s="1119"/>
      <c r="Q88" s="1137" t="s">
        <v>2318</v>
      </c>
      <c r="R88" s="1137"/>
      <c r="S88" s="1137"/>
      <c r="T88" s="1137"/>
      <c r="U88" s="1137"/>
      <c r="V88" s="1137"/>
      <c r="W88" s="1137"/>
      <c r="X88" s="1137"/>
      <c r="Y88" s="1137"/>
      <c r="Z88" s="1137"/>
      <c r="AA88" s="1137"/>
      <c r="AB88" s="1137"/>
      <c r="AC88" s="1137"/>
      <c r="AD88" s="1137"/>
      <c r="AE88" s="1137"/>
      <c r="AF88" s="1137"/>
      <c r="AG88" s="1138"/>
    </row>
    <row r="89" spans="1:33">
      <c r="A89" s="1125" t="s">
        <v>2319</v>
      </c>
      <c r="B89" s="1119"/>
      <c r="C89" s="1119"/>
      <c r="D89" s="1119"/>
      <c r="E89" s="1119"/>
      <c r="F89" s="1119"/>
      <c r="G89" s="1119"/>
      <c r="H89" s="1119"/>
      <c r="I89" s="1119"/>
      <c r="J89" s="1119"/>
      <c r="K89" s="1119"/>
      <c r="L89" s="1119"/>
      <c r="M89" s="1119"/>
      <c r="N89" s="1119"/>
      <c r="O89" s="1119"/>
      <c r="P89" s="1119"/>
      <c r="Q89" s="1122" t="s">
        <v>2320</v>
      </c>
      <c r="R89" s="1122"/>
      <c r="S89" s="1122"/>
      <c r="T89" s="1122"/>
      <c r="U89" s="1122"/>
      <c r="V89" s="1122"/>
      <c r="W89" s="1122"/>
      <c r="X89" s="1122"/>
      <c r="Y89" s="1122"/>
      <c r="Z89" s="1122"/>
      <c r="AA89" s="1122"/>
      <c r="AB89" s="1122"/>
      <c r="AC89" s="1122"/>
      <c r="AD89" s="1122"/>
      <c r="AE89" s="1122"/>
      <c r="AF89" s="1122"/>
      <c r="AG89" s="1126"/>
    </row>
    <row r="90" spans="1:33">
      <c r="A90" s="1125"/>
      <c r="B90" s="1119"/>
      <c r="C90" s="1119"/>
      <c r="D90" s="1119"/>
      <c r="E90" s="1119"/>
      <c r="F90" s="1119"/>
      <c r="G90" s="1119"/>
      <c r="H90" s="1119"/>
      <c r="I90" s="1119"/>
      <c r="J90" s="1119"/>
      <c r="K90" s="1119"/>
      <c r="L90" s="1119"/>
      <c r="M90" s="1119"/>
      <c r="N90" s="1119"/>
      <c r="O90" s="1119"/>
      <c r="P90" s="1119"/>
      <c r="Q90" s="1129" t="s">
        <v>2321</v>
      </c>
      <c r="R90" s="1129"/>
      <c r="S90" s="1129"/>
      <c r="T90" s="1129"/>
      <c r="U90" s="1129"/>
      <c r="V90" s="1129"/>
      <c r="W90" s="1129"/>
      <c r="X90" s="1129"/>
      <c r="Y90" s="1129"/>
      <c r="Z90" s="1129"/>
      <c r="AA90" s="1129"/>
      <c r="AB90" s="1129"/>
      <c r="AC90" s="1129"/>
      <c r="AD90" s="1129"/>
      <c r="AE90" s="1129"/>
      <c r="AF90" s="1129"/>
      <c r="AG90" s="1130"/>
    </row>
    <row r="91" spans="1:33">
      <c r="A91" s="1125"/>
      <c r="B91" s="1119"/>
      <c r="C91" s="1119"/>
      <c r="D91" s="1119"/>
      <c r="E91" s="1119"/>
      <c r="F91" s="1119"/>
      <c r="G91" s="1119"/>
      <c r="H91" s="1119"/>
      <c r="I91" s="1119"/>
      <c r="J91" s="1119"/>
      <c r="K91" s="1119"/>
      <c r="L91" s="1119"/>
      <c r="M91" s="1119"/>
      <c r="N91" s="1119"/>
      <c r="O91" s="1119"/>
      <c r="P91" s="1119"/>
      <c r="Q91" s="1122" t="s">
        <v>2322</v>
      </c>
      <c r="R91" s="1122"/>
      <c r="S91" s="1122"/>
      <c r="T91" s="1122"/>
      <c r="U91" s="1122"/>
      <c r="V91" s="1122"/>
      <c r="W91" s="1122"/>
      <c r="X91" s="1122"/>
      <c r="Y91" s="1122"/>
      <c r="Z91" s="1122"/>
      <c r="AA91" s="1122"/>
      <c r="AB91" s="1122"/>
      <c r="AC91" s="1122"/>
      <c r="AD91" s="1122"/>
      <c r="AE91" s="1122"/>
      <c r="AF91" s="1122"/>
      <c r="AG91" s="1126"/>
    </row>
    <row r="92" spans="1:33">
      <c r="A92" s="1125"/>
      <c r="B92" s="1119"/>
      <c r="C92" s="1119"/>
      <c r="D92" s="1119"/>
      <c r="E92" s="1119"/>
      <c r="F92" s="1119"/>
      <c r="G92" s="1119"/>
      <c r="H92" s="1119"/>
      <c r="I92" s="1119"/>
      <c r="J92" s="1119"/>
      <c r="K92" s="1119"/>
      <c r="L92" s="1119"/>
      <c r="M92" s="1119"/>
      <c r="N92" s="1119"/>
      <c r="O92" s="1119"/>
      <c r="P92" s="1119"/>
      <c r="Q92" s="1122" t="s">
        <v>2323</v>
      </c>
      <c r="R92" s="1122"/>
      <c r="S92" s="1122"/>
      <c r="T92" s="1122"/>
      <c r="U92" s="1122"/>
      <c r="V92" s="1122"/>
      <c r="W92" s="1122"/>
      <c r="X92" s="1122"/>
      <c r="Y92" s="1122"/>
      <c r="Z92" s="1122"/>
      <c r="AA92" s="1122"/>
      <c r="AB92" s="1122"/>
      <c r="AC92" s="1122"/>
      <c r="AD92" s="1122"/>
      <c r="AE92" s="1122"/>
      <c r="AF92" s="1122"/>
      <c r="AG92" s="1126"/>
    </row>
    <row r="93" spans="1:33">
      <c r="A93" s="1125"/>
      <c r="B93" s="1119"/>
      <c r="C93" s="1119"/>
      <c r="D93" s="1119"/>
      <c r="E93" s="1119"/>
      <c r="F93" s="1119"/>
      <c r="G93" s="1119"/>
      <c r="H93" s="1119"/>
      <c r="I93" s="1119"/>
      <c r="J93" s="1119"/>
      <c r="K93" s="1119"/>
      <c r="L93" s="1119"/>
      <c r="M93" s="1119"/>
      <c r="N93" s="1119"/>
      <c r="O93" s="1119"/>
      <c r="P93" s="1119"/>
      <c r="Q93" s="1122" t="s">
        <v>2324</v>
      </c>
      <c r="R93" s="1122"/>
      <c r="S93" s="1122"/>
      <c r="T93" s="1122"/>
      <c r="U93" s="1122"/>
      <c r="V93" s="1122"/>
      <c r="W93" s="1122"/>
      <c r="X93" s="1122"/>
      <c r="Y93" s="1122"/>
      <c r="Z93" s="1122"/>
      <c r="AA93" s="1122"/>
      <c r="AB93" s="1122"/>
      <c r="AC93" s="1122"/>
      <c r="AD93" s="1122"/>
      <c r="AE93" s="1122"/>
      <c r="AF93" s="1122"/>
      <c r="AG93" s="1126"/>
    </row>
    <row r="94" spans="1:33">
      <c r="A94" s="1125"/>
      <c r="B94" s="1119"/>
      <c r="C94" s="1119"/>
      <c r="D94" s="1119"/>
      <c r="E94" s="1119"/>
      <c r="F94" s="1119"/>
      <c r="G94" s="1119"/>
      <c r="H94" s="1119"/>
      <c r="I94" s="1119"/>
      <c r="J94" s="1119"/>
      <c r="K94" s="1119"/>
      <c r="L94" s="1119"/>
      <c r="M94" s="1119"/>
      <c r="N94" s="1119"/>
      <c r="O94" s="1119"/>
      <c r="P94" s="1119"/>
      <c r="Q94" s="1122" t="s">
        <v>2325</v>
      </c>
      <c r="R94" s="1122"/>
      <c r="S94" s="1122"/>
      <c r="T94" s="1122"/>
      <c r="U94" s="1122"/>
      <c r="V94" s="1122"/>
      <c r="W94" s="1122"/>
      <c r="X94" s="1122"/>
      <c r="Y94" s="1122"/>
      <c r="Z94" s="1122"/>
      <c r="AA94" s="1122"/>
      <c r="AB94" s="1122"/>
      <c r="AC94" s="1122"/>
      <c r="AD94" s="1122"/>
      <c r="AE94" s="1122"/>
      <c r="AF94" s="1122"/>
      <c r="AG94" s="1126"/>
    </row>
    <row r="95" spans="1:33">
      <c r="A95" s="1125"/>
      <c r="B95" s="1119"/>
      <c r="C95" s="1119"/>
      <c r="D95" s="1119"/>
      <c r="E95" s="1119"/>
      <c r="F95" s="1119"/>
      <c r="G95" s="1119"/>
      <c r="H95" s="1119"/>
      <c r="I95" s="1119"/>
      <c r="J95" s="1119"/>
      <c r="K95" s="1119"/>
      <c r="L95" s="1119"/>
      <c r="M95" s="1119"/>
      <c r="N95" s="1119"/>
      <c r="O95" s="1119"/>
      <c r="P95" s="1119"/>
      <c r="Q95" s="1122" t="s">
        <v>2326</v>
      </c>
      <c r="R95" s="1122"/>
      <c r="S95" s="1122"/>
      <c r="T95" s="1122"/>
      <c r="U95" s="1122"/>
      <c r="V95" s="1122"/>
      <c r="W95" s="1122"/>
      <c r="X95" s="1122"/>
      <c r="Y95" s="1122"/>
      <c r="Z95" s="1122"/>
      <c r="AA95" s="1122"/>
      <c r="AB95" s="1122"/>
      <c r="AC95" s="1122"/>
      <c r="AD95" s="1122"/>
      <c r="AE95" s="1122"/>
      <c r="AF95" s="1122"/>
      <c r="AG95" s="1126"/>
    </row>
    <row r="96" spans="1:33">
      <c r="A96" s="1125"/>
      <c r="B96" s="1119"/>
      <c r="C96" s="1119"/>
      <c r="D96" s="1119"/>
      <c r="E96" s="1119"/>
      <c r="F96" s="1119"/>
      <c r="G96" s="1119"/>
      <c r="H96" s="1119"/>
      <c r="I96" s="1119"/>
      <c r="J96" s="1119"/>
      <c r="K96" s="1119"/>
      <c r="L96" s="1119"/>
      <c r="M96" s="1119"/>
      <c r="N96" s="1119"/>
      <c r="O96" s="1119"/>
      <c r="P96" s="1119"/>
      <c r="Q96" s="1122" t="s">
        <v>2327</v>
      </c>
      <c r="R96" s="1122"/>
      <c r="S96" s="1122"/>
      <c r="T96" s="1122"/>
      <c r="U96" s="1122"/>
      <c r="V96" s="1122"/>
      <c r="W96" s="1122"/>
      <c r="X96" s="1122"/>
      <c r="Y96" s="1122"/>
      <c r="Z96" s="1122"/>
      <c r="AA96" s="1122"/>
      <c r="AB96" s="1122"/>
      <c r="AC96" s="1122"/>
      <c r="AD96" s="1122"/>
      <c r="AE96" s="1122"/>
      <c r="AF96" s="1122"/>
      <c r="AG96" s="1126"/>
    </row>
    <row r="97" spans="1:33">
      <c r="A97" s="1125"/>
      <c r="B97" s="1119"/>
      <c r="C97" s="1119"/>
      <c r="D97" s="1119"/>
      <c r="E97" s="1119"/>
      <c r="F97" s="1119"/>
      <c r="G97" s="1119"/>
      <c r="H97" s="1119"/>
      <c r="I97" s="1119"/>
      <c r="J97" s="1119"/>
      <c r="K97" s="1119"/>
      <c r="L97" s="1119"/>
      <c r="M97" s="1119"/>
      <c r="N97" s="1119"/>
      <c r="O97" s="1119"/>
      <c r="P97" s="1119"/>
      <c r="Q97" s="1122" t="s">
        <v>2328</v>
      </c>
      <c r="R97" s="1122"/>
      <c r="S97" s="1122"/>
      <c r="T97" s="1122"/>
      <c r="U97" s="1122"/>
      <c r="V97" s="1122"/>
      <c r="W97" s="1122"/>
      <c r="X97" s="1122"/>
      <c r="Y97" s="1122"/>
      <c r="Z97" s="1122"/>
      <c r="AA97" s="1122"/>
      <c r="AB97" s="1122"/>
      <c r="AC97" s="1122"/>
      <c r="AD97" s="1122"/>
      <c r="AE97" s="1122"/>
      <c r="AF97" s="1122"/>
      <c r="AG97" s="1126"/>
    </row>
    <row r="98" spans="1:33">
      <c r="A98" s="1125"/>
      <c r="B98" s="1119"/>
      <c r="C98" s="1119"/>
      <c r="D98" s="1119"/>
      <c r="E98" s="1119"/>
      <c r="F98" s="1119"/>
      <c r="G98" s="1119"/>
      <c r="H98" s="1119"/>
      <c r="I98" s="1119"/>
      <c r="J98" s="1119"/>
      <c r="K98" s="1119"/>
      <c r="L98" s="1119"/>
      <c r="M98" s="1119"/>
      <c r="N98" s="1119"/>
      <c r="O98" s="1119"/>
      <c r="P98" s="1119"/>
      <c r="Q98" s="1127" t="s">
        <v>2329</v>
      </c>
      <c r="R98" s="1127"/>
      <c r="S98" s="1127"/>
      <c r="T98" s="1127"/>
      <c r="U98" s="1127"/>
      <c r="V98" s="1127"/>
      <c r="W98" s="1127"/>
      <c r="X98" s="1127"/>
      <c r="Y98" s="1127"/>
      <c r="Z98" s="1127"/>
      <c r="AA98" s="1127"/>
      <c r="AB98" s="1127"/>
      <c r="AC98" s="1127"/>
      <c r="AD98" s="1127"/>
      <c r="AE98" s="1127"/>
      <c r="AF98" s="1127"/>
      <c r="AG98" s="1128"/>
    </row>
    <row r="99" spans="1:33">
      <c r="A99" s="1125"/>
      <c r="B99" s="1119"/>
      <c r="C99" s="1119"/>
      <c r="D99" s="1119"/>
      <c r="E99" s="1119"/>
      <c r="F99" s="1119"/>
      <c r="G99" s="1119"/>
      <c r="H99" s="1119"/>
      <c r="I99" s="1119"/>
      <c r="J99" s="1119"/>
      <c r="K99" s="1119"/>
      <c r="L99" s="1119"/>
      <c r="M99" s="1119"/>
      <c r="N99" s="1119"/>
      <c r="O99" s="1119"/>
      <c r="P99" s="1119"/>
      <c r="Q99" s="1129" t="s">
        <v>2330</v>
      </c>
      <c r="R99" s="1129"/>
      <c r="S99" s="1129"/>
      <c r="T99" s="1129"/>
      <c r="U99" s="1129"/>
      <c r="V99" s="1129"/>
      <c r="W99" s="1129"/>
      <c r="X99" s="1129"/>
      <c r="Y99" s="1129"/>
      <c r="Z99" s="1129"/>
      <c r="AA99" s="1129"/>
      <c r="AB99" s="1129"/>
      <c r="AC99" s="1129"/>
      <c r="AD99" s="1129"/>
      <c r="AE99" s="1129"/>
      <c r="AF99" s="1129"/>
      <c r="AG99" s="1130"/>
    </row>
    <row r="100" spans="1:33">
      <c r="A100" s="1125" t="s">
        <v>2331</v>
      </c>
      <c r="B100" s="1119"/>
      <c r="C100" s="1119"/>
      <c r="D100" s="1119"/>
      <c r="E100" s="1119"/>
      <c r="F100" s="1119"/>
      <c r="G100" s="1119"/>
      <c r="H100" s="1119"/>
      <c r="I100" s="1119"/>
      <c r="J100" s="1119"/>
      <c r="K100" s="1119"/>
      <c r="L100" s="1119"/>
      <c r="M100" s="1119"/>
      <c r="N100" s="1119"/>
      <c r="O100" s="1119"/>
      <c r="P100" s="1119"/>
      <c r="Q100" s="1131"/>
      <c r="R100" s="1131"/>
      <c r="S100" s="1131"/>
      <c r="T100" s="1131"/>
      <c r="U100" s="1131"/>
      <c r="V100" s="1131"/>
      <c r="W100" s="1131"/>
      <c r="X100" s="1131"/>
      <c r="Y100" s="1131"/>
      <c r="Z100" s="1131"/>
      <c r="AA100" s="1131"/>
      <c r="AB100" s="1131"/>
      <c r="AC100" s="1131"/>
      <c r="AD100" s="1131"/>
      <c r="AE100" s="1131"/>
      <c r="AF100" s="1131"/>
      <c r="AG100" s="1132"/>
    </row>
    <row r="101" spans="1:33">
      <c r="A101" s="1135" t="s">
        <v>2332</v>
      </c>
      <c r="B101" s="1136"/>
      <c r="C101" s="1136"/>
      <c r="D101" s="1136"/>
      <c r="E101" s="1136"/>
      <c r="F101" s="1136"/>
      <c r="G101" s="1136"/>
      <c r="H101" s="1136"/>
      <c r="I101" s="1136"/>
      <c r="J101" s="1136"/>
      <c r="K101" s="1136"/>
      <c r="L101" s="1136"/>
      <c r="M101" s="1136"/>
      <c r="N101" s="1136"/>
      <c r="O101" s="1136"/>
      <c r="P101" s="1136"/>
      <c r="Q101" s="1133"/>
      <c r="R101" s="1133"/>
      <c r="S101" s="1133"/>
      <c r="T101" s="1133"/>
      <c r="U101" s="1133"/>
      <c r="V101" s="1133"/>
      <c r="W101" s="1133"/>
      <c r="X101" s="1133"/>
      <c r="Y101" s="1133"/>
      <c r="Z101" s="1133"/>
      <c r="AA101" s="1133"/>
      <c r="AB101" s="1133"/>
      <c r="AC101" s="1133"/>
      <c r="AD101" s="1133"/>
      <c r="AE101" s="1133"/>
      <c r="AF101" s="1133"/>
      <c r="AG101" s="1134"/>
    </row>
  </sheetData>
  <mergeCells count="75">
    <mergeCell ref="A100:P100"/>
    <mergeCell ref="Q100:AG101"/>
    <mergeCell ref="A101:P101"/>
    <mergeCell ref="A87:P88"/>
    <mergeCell ref="Q87:AG87"/>
    <mergeCell ref="Q88:AG88"/>
    <mergeCell ref="A89:P99"/>
    <mergeCell ref="Q89:AG89"/>
    <mergeCell ref="Q90:AG90"/>
    <mergeCell ref="Q91:AG91"/>
    <mergeCell ref="Q92:AG92"/>
    <mergeCell ref="Q93:AG93"/>
    <mergeCell ref="Q94:AG94"/>
    <mergeCell ref="Q95:AG95"/>
    <mergeCell ref="Q96:AG96"/>
    <mergeCell ref="Q97:AG97"/>
    <mergeCell ref="Q98:AG98"/>
    <mergeCell ref="Q99:AG99"/>
    <mergeCell ref="A80:P80"/>
    <mergeCell ref="Q80:AG80"/>
    <mergeCell ref="A81:P86"/>
    <mergeCell ref="Q81:AG81"/>
    <mergeCell ref="Q82:AG82"/>
    <mergeCell ref="Q83:AG83"/>
    <mergeCell ref="Q84:AG84"/>
    <mergeCell ref="Q85:AG85"/>
    <mergeCell ref="Q86:AG86"/>
    <mergeCell ref="A76:P76"/>
    <mergeCell ref="Q76:AG76"/>
    <mergeCell ref="A77:P79"/>
    <mergeCell ref="Q77:AG77"/>
    <mergeCell ref="Q78:AG78"/>
    <mergeCell ref="Q79:AG79"/>
    <mergeCell ref="AB6:AC8"/>
    <mergeCell ref="AD6:AE8"/>
    <mergeCell ref="B7:C7"/>
    <mergeCell ref="J7:K7"/>
    <mergeCell ref="T7:U7"/>
    <mergeCell ref="V7:W7"/>
    <mergeCell ref="Z7:AA7"/>
    <mergeCell ref="B8:C8"/>
    <mergeCell ref="J8:K8"/>
    <mergeCell ref="L8:M8"/>
    <mergeCell ref="Z6:AA6"/>
    <mergeCell ref="N8:O8"/>
    <mergeCell ref="P8:Q8"/>
    <mergeCell ref="T8:U8"/>
    <mergeCell ref="V8:W8"/>
    <mergeCell ref="L6:Q7"/>
    <mergeCell ref="A72:P72"/>
    <mergeCell ref="Q72:AG75"/>
    <mergeCell ref="A73:P73"/>
    <mergeCell ref="A74:P74"/>
    <mergeCell ref="A75:P75"/>
    <mergeCell ref="R6:S8"/>
    <mergeCell ref="T6:U6"/>
    <mergeCell ref="V6:W6"/>
    <mergeCell ref="X6:Y8"/>
    <mergeCell ref="Z8:AA8"/>
    <mergeCell ref="J6:K6"/>
    <mergeCell ref="A1:AG1"/>
    <mergeCell ref="A2:AG2"/>
    <mergeCell ref="A3:A8"/>
    <mergeCell ref="B3:C3"/>
    <mergeCell ref="D3:I5"/>
    <mergeCell ref="J3:S5"/>
    <mergeCell ref="T3:Y5"/>
    <mergeCell ref="Z3:AE5"/>
    <mergeCell ref="AF3:AG8"/>
    <mergeCell ref="B4:C4"/>
    <mergeCell ref="B5:C5"/>
    <mergeCell ref="B6:C6"/>
    <mergeCell ref="D6:E8"/>
    <mergeCell ref="F6:G8"/>
    <mergeCell ref="H6:I8"/>
  </mergeCells>
  <hyperlinks>
    <hyperlink ref="Q87" r:id="rId1" location="naturalgas" display="http://www.eia.gov/totalenergy/data/monthly/ - naturalgas"/>
    <hyperlink ref="Q88" r:id="rId2" display="http://www.eia.gov/naturalgas/"/>
  </hyperlinks>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CJ35"/>
  <sheetViews>
    <sheetView zoomScale="70" zoomScaleNormal="70" workbookViewId="0">
      <selection activeCell="B19" sqref="B19"/>
    </sheetView>
  </sheetViews>
  <sheetFormatPr defaultRowHeight="15"/>
  <cols>
    <col min="1" max="1" width="9.140625" style="697"/>
    <col min="2" max="2" width="44.5703125" bestFit="1" customWidth="1"/>
    <col min="3" max="5" width="13.28515625" bestFit="1" customWidth="1"/>
    <col min="6" max="6" width="12.85546875" bestFit="1" customWidth="1"/>
    <col min="7" max="7" width="13.28515625" bestFit="1" customWidth="1"/>
    <col min="8" max="8" width="12.85546875" bestFit="1" customWidth="1"/>
    <col min="9" max="9" width="13.28515625" bestFit="1" customWidth="1"/>
    <col min="13" max="13" width="9.7109375" bestFit="1" customWidth="1"/>
    <col min="14" max="14" width="10.140625" bestFit="1" customWidth="1"/>
    <col min="15" max="15" width="9.7109375" bestFit="1" customWidth="1"/>
    <col min="39" max="39" width="10.7109375" bestFit="1" customWidth="1"/>
    <col min="40" max="42" width="10.5703125" bestFit="1" customWidth="1"/>
    <col min="43" max="46" width="9.5703125" bestFit="1" customWidth="1"/>
    <col min="47" max="54" width="10.5703125" bestFit="1" customWidth="1"/>
    <col min="55" max="59" width="9.5703125" bestFit="1" customWidth="1"/>
    <col min="60" max="66" width="10.5703125" bestFit="1" customWidth="1"/>
    <col min="67" max="72" width="9.5703125" bestFit="1" customWidth="1"/>
    <col min="73" max="86" width="10.5703125" bestFit="1" customWidth="1"/>
  </cols>
  <sheetData>
    <row r="1" spans="2:9">
      <c r="B1" s="700" t="s">
        <v>2169</v>
      </c>
    </row>
    <row r="2" spans="2:9">
      <c r="B2" s="942"/>
      <c r="C2" s="943">
        <v>2006</v>
      </c>
      <c r="D2" s="943">
        <v>2007</v>
      </c>
      <c r="E2" s="943">
        <v>2008</v>
      </c>
      <c r="F2" s="943">
        <v>2009</v>
      </c>
      <c r="G2" s="943">
        <v>2010</v>
      </c>
      <c r="H2" s="943">
        <v>2011</v>
      </c>
      <c r="I2" s="943">
        <v>2012</v>
      </c>
    </row>
    <row r="3" spans="2:9">
      <c r="B3" s="943" t="s">
        <v>2366</v>
      </c>
      <c r="C3" s="944">
        <f>135617/1.028</f>
        <v>131923.15175097276</v>
      </c>
      <c r="D3" s="974">
        <f>(C3-F3)*2/3+F3</f>
        <v>128658.80278999393</v>
      </c>
      <c r="E3" s="974">
        <f>(C3-F3)/3+F3</f>
        <v>125394.45382901511</v>
      </c>
      <c r="F3" s="945">
        <f>SUM(AN27:AX27)</f>
        <v>122130.10486803629</v>
      </c>
      <c r="G3" s="945">
        <f>SUM(AY27:BJ27)</f>
        <v>138843.67704280157</v>
      </c>
      <c r="H3" s="945">
        <f>SUM(BK27:BV27)</f>
        <v>131300.85603112841</v>
      </c>
      <c r="I3" s="945">
        <f>SUM(BW27:CH27)</f>
        <v>118428.3832684825</v>
      </c>
    </row>
    <row r="4" spans="2:9">
      <c r="B4" s="946" t="s">
        <v>2268</v>
      </c>
      <c r="C4" s="947">
        <f>'Inn at Virginia Tech NG Usage'!A8</f>
        <v>19487</v>
      </c>
      <c r="D4" s="947">
        <f>'Inn at Virginia Tech NG Usage'!B8</f>
        <v>19709</v>
      </c>
      <c r="E4" s="947">
        <f>'Inn at Virginia Tech NG Usage'!C8</f>
        <v>22224</v>
      </c>
      <c r="F4" s="947">
        <f>'Inn at Virginia Tech NG Usage'!D8</f>
        <v>13268</v>
      </c>
      <c r="G4" s="947">
        <f>'Inn at Virginia Tech NG Usage'!E8</f>
        <v>14189</v>
      </c>
      <c r="H4" s="947">
        <f>'Inn at Virginia Tech NG Usage'!F8</f>
        <v>14436</v>
      </c>
      <c r="I4" s="947">
        <f>'Inn at Virginia Tech NG Usage'!G8</f>
        <v>14094</v>
      </c>
    </row>
    <row r="5" spans="2:9">
      <c r="B5" s="943" t="s">
        <v>2367</v>
      </c>
      <c r="C5" s="944">
        <f>C3-C4</f>
        <v>112436.15175097276</v>
      </c>
      <c r="D5" s="944">
        <f t="shared" ref="D5:I5" si="0">D3-D4</f>
        <v>108949.80278999393</v>
      </c>
      <c r="E5" s="944">
        <f t="shared" si="0"/>
        <v>103170.45382901511</v>
      </c>
      <c r="F5" s="944">
        <f t="shared" si="0"/>
        <v>108862.10486803629</v>
      </c>
      <c r="G5" s="944">
        <f t="shared" si="0"/>
        <v>124654.67704280157</v>
      </c>
      <c r="H5" s="944">
        <f t="shared" si="0"/>
        <v>116864.85603112841</v>
      </c>
      <c r="I5" s="944">
        <f t="shared" si="0"/>
        <v>104334.3832684825</v>
      </c>
    </row>
    <row r="6" spans="2:9">
      <c r="B6" s="943" t="s">
        <v>2086</v>
      </c>
      <c r="C6" s="944">
        <f>274875/1.028</f>
        <v>267388.13229571981</v>
      </c>
      <c r="D6" s="973">
        <f>D16-D23</f>
        <v>257753.9325551232</v>
      </c>
      <c r="E6" s="973">
        <f>E16-E23</f>
        <v>130861.1278145266</v>
      </c>
      <c r="F6" s="945">
        <f>SUM(AN28:AX28)</f>
        <v>73984.533073929953</v>
      </c>
      <c r="G6" s="945">
        <f>SUM(AY28:BJ28)</f>
        <v>44045.719844357969</v>
      </c>
      <c r="H6" s="945">
        <f>SUM(BK28:BV28)</f>
        <v>11674.961089494165</v>
      </c>
      <c r="I6" s="945">
        <f>SUM(BW28:CH28)</f>
        <v>256811.28404669263</v>
      </c>
    </row>
    <row r="7" spans="2:9">
      <c r="B7" s="74" t="s">
        <v>981</v>
      </c>
      <c r="C7" s="944">
        <f>'2006 ATMOS NG Billed Volumes'!$O33</f>
        <v>368415.41989999998</v>
      </c>
      <c r="D7" s="944">
        <f>'2007 ATMOS NG Billed Volumes'!$O33</f>
        <v>371939.00060000003</v>
      </c>
      <c r="E7" s="944">
        <f>'2008 ATMOS NG Billed Volumes'!$O33</f>
        <v>391612.35449999996</v>
      </c>
      <c r="F7" s="944">
        <f>'2009 ATMOS NG Billed Volumes'!$O33</f>
        <v>405330.85380000004</v>
      </c>
      <c r="G7" s="944">
        <f>'2010 ATMOS NG Billed Volumes'!$O33</f>
        <v>416670.04639999999</v>
      </c>
      <c r="H7" s="944">
        <f>'2011 ATMOS NG Billed Volumes'!$O33</f>
        <v>374391.8</v>
      </c>
      <c r="I7" s="944">
        <f>'2012 ATMOS NG Billed Volumes'!$O33</f>
        <v>343067.84</v>
      </c>
    </row>
    <row r="8" spans="2:9">
      <c r="B8" s="824" t="s">
        <v>2368</v>
      </c>
      <c r="C8" s="948">
        <f>C7-C5</f>
        <v>255979.26814902722</v>
      </c>
      <c r="D8" s="948">
        <f t="shared" ref="D8:I8" si="1">D7-D5</f>
        <v>262989.1978100061</v>
      </c>
      <c r="E8" s="948">
        <f t="shared" si="1"/>
        <v>288441.90067098488</v>
      </c>
      <c r="F8" s="948">
        <f t="shared" si="1"/>
        <v>296468.74893196375</v>
      </c>
      <c r="G8" s="948">
        <f t="shared" si="1"/>
        <v>292015.36935719842</v>
      </c>
      <c r="H8" s="948">
        <f t="shared" si="1"/>
        <v>257526.94396887158</v>
      </c>
      <c r="I8" s="948">
        <f t="shared" si="1"/>
        <v>238733.45673151751</v>
      </c>
    </row>
    <row r="9" spans="2:9">
      <c r="B9" s="949" t="s">
        <v>980</v>
      </c>
      <c r="C9" s="950">
        <f>'2006 ATMOS NG Billed Volumes'!$O15</f>
        <v>211427.47899999999</v>
      </c>
      <c r="D9" s="950">
        <f>'2007 ATMOS NG Billed Volumes'!$O15</f>
        <v>223499.83059999999</v>
      </c>
      <c r="E9" s="950">
        <f>'2008 ATMOS NG Billed Volumes'!$O15</f>
        <v>229961.81950000004</v>
      </c>
      <c r="F9" s="950">
        <f>'2009 ATMOS NG Billed Volumes'!$O15</f>
        <v>220989.51309999998</v>
      </c>
      <c r="G9" s="950">
        <f>'2010 ATMOS NG Billed Volumes'!$O15</f>
        <v>251833.77140000003</v>
      </c>
      <c r="H9" s="950">
        <f>'2011 ATMOS NG Billed Volumes'!$O15</f>
        <v>225401.41</v>
      </c>
      <c r="I9" s="950">
        <f>'2012 ATMOS NG Billed Volumes'!$O15</f>
        <v>202785.37</v>
      </c>
    </row>
    <row r="10" spans="2:9">
      <c r="B10" s="824" t="s">
        <v>2369</v>
      </c>
      <c r="C10" s="950">
        <f>C9+C8</f>
        <v>467406.74714902719</v>
      </c>
      <c r="D10" s="950">
        <f t="shared" ref="D10:I10" si="2">D9+D8</f>
        <v>486489.02841000608</v>
      </c>
      <c r="E10" s="950">
        <f t="shared" si="2"/>
        <v>518403.72017098492</v>
      </c>
      <c r="F10" s="950">
        <f t="shared" si="2"/>
        <v>517458.26203196374</v>
      </c>
      <c r="G10" s="950">
        <f t="shared" si="2"/>
        <v>543849.14075719845</v>
      </c>
      <c r="H10" s="950">
        <f t="shared" si="2"/>
        <v>482928.35396887158</v>
      </c>
      <c r="I10" s="950">
        <f t="shared" si="2"/>
        <v>441518.8267315175</v>
      </c>
    </row>
    <row r="11" spans="2:9">
      <c r="B11" s="951" t="s">
        <v>2370</v>
      </c>
      <c r="C11" s="952">
        <f>'EIA Natural Gas by Sector'!$B66/('EIA Natural Gas by Sector'!$B66+'EIA Natural Gas by Sector'!$H66)</f>
        <v>0.60668959471680839</v>
      </c>
      <c r="D11" s="952">
        <f>'EIA Natural Gas by Sector'!$B67/('EIA Natural Gas by Sector'!$B67+'EIA Natural Gas by Sector'!$H67)</f>
        <v>0.61049748541161242</v>
      </c>
      <c r="E11" s="952">
        <f>'EIA Natural Gas by Sector'!$B68/('EIA Natural Gas by Sector'!$B68+'EIA Natural Gas by Sector'!$H68)</f>
        <v>0.60812864847207004</v>
      </c>
      <c r="F11" s="952">
        <f>'EIA Natural Gas by Sector'!$B69/('EIA Natural Gas by Sector'!$B69+'EIA Natural Gas by Sector'!$H69)</f>
        <v>0.60511650587103583</v>
      </c>
      <c r="G11" s="952">
        <f>'EIA Natural Gas by Sector'!$B70/('EIA Natural Gas by Sector'!$B70+'EIA Natural Gas by Sector'!$H70)</f>
        <v>0.60683521792066031</v>
      </c>
      <c r="H11" s="952">
        <f>'EIA Natural Gas by Sector'!$B71/('EIA Natural Gas by Sector'!$B71+'EIA Natural Gas by Sector'!$H71)</f>
        <v>0.59961995985819672</v>
      </c>
      <c r="I11" s="952">
        <f>'EIA Natural Gas by Sector'!$B71/('EIA Natural Gas by Sector'!$B71+'EIA Natural Gas by Sector'!$H71)</f>
        <v>0.59961995985819672</v>
      </c>
    </row>
    <row r="12" spans="2:9">
      <c r="B12" s="953" t="s">
        <v>2334</v>
      </c>
      <c r="C12" s="954">
        <f>C10*C11-C9</f>
        <v>72143.330995745026</v>
      </c>
      <c r="D12" s="954">
        <f t="shared" ref="D12:I12" si="3">D10*D11-D9</f>
        <v>73500.497924647178</v>
      </c>
      <c r="E12" s="954">
        <f t="shared" si="3"/>
        <v>85294.334210474219</v>
      </c>
      <c r="F12" s="954">
        <f t="shared" si="3"/>
        <v>92133.022354880814</v>
      </c>
      <c r="G12" s="954">
        <f t="shared" si="3"/>
        <v>78193.040447358333</v>
      </c>
      <c r="H12" s="954">
        <f t="shared" si="3"/>
        <v>64172.0702211998</v>
      </c>
      <c r="I12" s="954">
        <f t="shared" si="3"/>
        <v>61958.131161390629</v>
      </c>
    </row>
    <row r="13" spans="2:9">
      <c r="B13" s="955" t="s">
        <v>2333</v>
      </c>
      <c r="C13" s="956">
        <f>C11*C10</f>
        <v>283570.80999574502</v>
      </c>
      <c r="D13" s="956">
        <f t="shared" ref="D13:I13" si="4">D11*D10</f>
        <v>297000.32852464716</v>
      </c>
      <c r="E13" s="956">
        <f t="shared" si="4"/>
        <v>315256.15371047426</v>
      </c>
      <c r="F13" s="956">
        <f t="shared" si="4"/>
        <v>313122.5354548808</v>
      </c>
      <c r="G13" s="956">
        <f t="shared" si="4"/>
        <v>330026.81184735836</v>
      </c>
      <c r="H13" s="956">
        <f t="shared" si="4"/>
        <v>289573.4802211998</v>
      </c>
      <c r="I13" s="956">
        <f t="shared" si="4"/>
        <v>264743.50116139062</v>
      </c>
    </row>
    <row r="14" spans="2:9">
      <c r="B14" s="955" t="s">
        <v>2371</v>
      </c>
      <c r="C14" s="956">
        <f t="shared" ref="C14:I14" si="5">C10-C13</f>
        <v>183835.93715328217</v>
      </c>
      <c r="D14" s="956">
        <f t="shared" si="5"/>
        <v>189488.69988535892</v>
      </c>
      <c r="E14" s="956">
        <f t="shared" si="5"/>
        <v>203147.56646051066</v>
      </c>
      <c r="F14" s="956">
        <f t="shared" si="5"/>
        <v>204335.72657708294</v>
      </c>
      <c r="G14" s="956">
        <f t="shared" si="5"/>
        <v>213822.32890984009</v>
      </c>
      <c r="H14" s="956">
        <f t="shared" si="5"/>
        <v>193354.87374767178</v>
      </c>
      <c r="I14" s="956">
        <f t="shared" si="5"/>
        <v>176775.32557012688</v>
      </c>
    </row>
    <row r="15" spans="2:9">
      <c r="B15" s="74" t="s">
        <v>982</v>
      </c>
      <c r="C15" s="944">
        <f>'2006 ATMOS NG Billed Volumes'!$O51</f>
        <v>245816.03539999999</v>
      </c>
      <c r="D15" s="944">
        <f>'2007 ATMOS NG Billed Volumes'!$O51</f>
        <v>273801.23680000007</v>
      </c>
      <c r="E15" s="944">
        <f>'2008 ATMOS NG Billed Volumes'!$O51</f>
        <v>258595.48350000006</v>
      </c>
      <c r="F15" s="944">
        <f>'2009 ATMOS NG Billed Volumes'!$O51</f>
        <v>201894.5816</v>
      </c>
      <c r="G15" s="944">
        <f>'2010 ATMOS NG Billed Volumes'!$O51</f>
        <v>74037.013300000006</v>
      </c>
      <c r="H15" s="944">
        <f>'2011 ATMOS NG Billed Volumes'!$O51</f>
        <v>84401.639999999985</v>
      </c>
      <c r="I15" s="944">
        <f>'2012 ATMOS NG Billed Volumes'!$O51</f>
        <v>33111.700000000004</v>
      </c>
    </row>
    <row r="16" spans="2:9">
      <c r="B16" s="74" t="s">
        <v>979</v>
      </c>
      <c r="C16" s="944">
        <f>'2006 ATMOS NG Billed Volumes'!$O87</f>
        <v>278460</v>
      </c>
      <c r="D16" s="944">
        <f>'2007 ATMOS NG Billed Volumes'!$O87</f>
        <v>271706</v>
      </c>
      <c r="E16" s="944">
        <f>'2008 ATMOS NG Billed Volumes'!$O87</f>
        <v>147693.39500000002</v>
      </c>
      <c r="F16" s="944">
        <f>'2009 ATMOS NG Billed Volumes'!$O87</f>
        <v>93697</v>
      </c>
      <c r="G16" s="944">
        <f>'2010 ATMOS NG Billed Volumes'!$O87</f>
        <v>252784</v>
      </c>
      <c r="H16" s="944">
        <f>'2011 ATMOS NG Billed Volumes'!$O87</f>
        <v>223463</v>
      </c>
      <c r="I16" s="944">
        <f>'2012 ATMOS NG Billed Volumes'!$O87</f>
        <v>550984</v>
      </c>
    </row>
    <row r="17" spans="2:88">
      <c r="B17" s="74" t="s">
        <v>984</v>
      </c>
      <c r="C17" s="945">
        <f t="shared" ref="C17:I17" si="6">C16+C15</f>
        <v>524276.03539999999</v>
      </c>
      <c r="D17" s="945">
        <f t="shared" si="6"/>
        <v>545507.23680000007</v>
      </c>
      <c r="E17" s="945">
        <f t="shared" si="6"/>
        <v>406288.87850000011</v>
      </c>
      <c r="F17" s="945">
        <f t="shared" si="6"/>
        <v>295591.58160000003</v>
      </c>
      <c r="G17" s="945">
        <f t="shared" si="6"/>
        <v>326821.01329999999</v>
      </c>
      <c r="H17" s="945">
        <f t="shared" si="6"/>
        <v>307864.64</v>
      </c>
      <c r="I17" s="945">
        <f t="shared" si="6"/>
        <v>584095.69999999995</v>
      </c>
    </row>
    <row r="18" spans="2:88">
      <c r="B18" s="955" t="s">
        <v>2372</v>
      </c>
      <c r="C18" s="957">
        <f t="shared" ref="C18:I18" si="7">C17-C6-C4</f>
        <v>237400.90310428018</v>
      </c>
      <c r="D18" s="957">
        <f t="shared" si="7"/>
        <v>268044.30424487684</v>
      </c>
      <c r="E18" s="957">
        <f t="shared" si="7"/>
        <v>253203.7506854735</v>
      </c>
      <c r="F18" s="957">
        <f t="shared" si="7"/>
        <v>208339.04852607008</v>
      </c>
      <c r="G18" s="957">
        <f t="shared" si="7"/>
        <v>268586.29345564201</v>
      </c>
      <c r="H18" s="957">
        <f t="shared" si="7"/>
        <v>281753.67891050584</v>
      </c>
      <c r="I18" s="957">
        <f t="shared" si="7"/>
        <v>313190.4159533073</v>
      </c>
    </row>
    <row r="19" spans="2:88">
      <c r="B19" s="955" t="s">
        <v>983</v>
      </c>
      <c r="C19" s="956">
        <f>'2006 ATMOS NG Billed Volumes'!$O69</f>
        <v>32717.5</v>
      </c>
      <c r="D19" s="956">
        <f>'2007 ATMOS NG Billed Volumes'!$O69</f>
        <v>37119.019800000002</v>
      </c>
      <c r="E19" s="956">
        <f>'2008 ATMOS NG Billed Volumes'!$O69</f>
        <v>49652.910100000001</v>
      </c>
      <c r="F19" s="956">
        <f>'2009 ATMOS NG Billed Volumes'!$O69</f>
        <v>45336.158100000001</v>
      </c>
      <c r="G19" s="956">
        <f>'2010 ATMOS NG Billed Volumes'!$O69</f>
        <v>46998.507200000007</v>
      </c>
      <c r="H19" s="956">
        <f>'2011 ATMOS NG Billed Volumes'!$O69</f>
        <v>49313.88</v>
      </c>
      <c r="I19" s="956">
        <f>'2012 ATMOS NG Billed Volumes'!$O69</f>
        <v>41138.400000000001</v>
      </c>
    </row>
    <row r="20" spans="2:88">
      <c r="B20" s="955" t="s">
        <v>50</v>
      </c>
      <c r="C20" s="956">
        <f>SUM(C19,C18,C14,C13)</f>
        <v>737525.15025330731</v>
      </c>
      <c r="D20" s="956">
        <f t="shared" ref="D20:I20" si="8">SUM(D19,D18,D14,D13)</f>
        <v>791652.35245488293</v>
      </c>
      <c r="E20" s="956">
        <f t="shared" si="8"/>
        <v>821260.38095645839</v>
      </c>
      <c r="F20" s="956">
        <f t="shared" si="8"/>
        <v>771133.46865803376</v>
      </c>
      <c r="G20" s="956">
        <f t="shared" si="8"/>
        <v>859433.94141284039</v>
      </c>
      <c r="H20" s="956">
        <f t="shared" si="8"/>
        <v>813995.91287937737</v>
      </c>
      <c r="I20" s="956">
        <f t="shared" si="8"/>
        <v>795847.64268482476</v>
      </c>
    </row>
    <row r="22" spans="2:88">
      <c r="B22" s="1139"/>
      <c r="C22" s="1139"/>
      <c r="D22" s="1139"/>
      <c r="E22" s="1139"/>
      <c r="F22" s="1139"/>
      <c r="G22" s="1139"/>
      <c r="H22" s="1139"/>
      <c r="I22" s="1139"/>
    </row>
    <row r="23" spans="2:88">
      <c r="B23" s="941" t="s">
        <v>2388</v>
      </c>
      <c r="C23" s="226">
        <f>C16-C6</f>
        <v>11071.867704280186</v>
      </c>
      <c r="D23" s="226">
        <f>(F23-C23)/3+C23</f>
        <v>13952.067444876806</v>
      </c>
      <c r="E23" s="226">
        <f>(F23-C23)*2/3+C23</f>
        <v>16832.267185473425</v>
      </c>
      <c r="F23" s="226">
        <f t="shared" ref="F23:I23" si="9">F16-F6</f>
        <v>19712.466926070047</v>
      </c>
      <c r="G23" s="226">
        <f t="shared" si="9"/>
        <v>208738.28015564202</v>
      </c>
      <c r="H23" s="226">
        <f t="shared" si="9"/>
        <v>211788.03891050583</v>
      </c>
      <c r="I23" s="226">
        <f t="shared" si="9"/>
        <v>294172.71595330734</v>
      </c>
    </row>
    <row r="26" spans="2:88">
      <c r="C26" s="566">
        <v>38718</v>
      </c>
      <c r="D26" s="566">
        <v>38749</v>
      </c>
      <c r="E26" s="566">
        <v>38777</v>
      </c>
      <c r="F26" s="566">
        <v>38808</v>
      </c>
      <c r="G26" s="566">
        <v>38838</v>
      </c>
      <c r="H26" s="566">
        <v>38869</v>
      </c>
      <c r="I26" s="566">
        <v>38899</v>
      </c>
      <c r="J26" s="566">
        <v>38930</v>
      </c>
      <c r="K26" s="566">
        <v>38961</v>
      </c>
      <c r="L26" s="566">
        <v>38991</v>
      </c>
      <c r="M26" s="566">
        <v>39022</v>
      </c>
      <c r="N26" s="566">
        <v>39052</v>
      </c>
      <c r="O26" s="566">
        <v>39083</v>
      </c>
      <c r="P26" s="566">
        <v>39114</v>
      </c>
      <c r="Q26" s="566">
        <v>39142</v>
      </c>
      <c r="R26" s="566">
        <v>39173</v>
      </c>
      <c r="S26" s="566">
        <v>39203</v>
      </c>
      <c r="T26" s="566">
        <v>39234</v>
      </c>
      <c r="U26" s="566">
        <v>39264</v>
      </c>
      <c r="V26" s="566">
        <v>39295</v>
      </c>
      <c r="W26" s="566">
        <v>39326</v>
      </c>
      <c r="X26" s="566">
        <v>39356</v>
      </c>
      <c r="Y26" s="566">
        <v>39387</v>
      </c>
      <c r="Z26" s="566">
        <v>39417</v>
      </c>
      <c r="AA26" s="566">
        <v>39448</v>
      </c>
      <c r="AB26" s="566">
        <v>39479</v>
      </c>
      <c r="AC26" s="566">
        <v>39508</v>
      </c>
      <c r="AD26" s="566">
        <v>39539</v>
      </c>
      <c r="AE26" s="566">
        <v>39569</v>
      </c>
      <c r="AF26" s="566">
        <v>39600</v>
      </c>
      <c r="AG26" s="566">
        <v>39630</v>
      </c>
      <c r="AH26" s="566">
        <v>39661</v>
      </c>
      <c r="AI26" s="566">
        <v>39692</v>
      </c>
      <c r="AJ26" s="566">
        <v>39722</v>
      </c>
      <c r="AK26" s="566">
        <v>39753</v>
      </c>
      <c r="AL26" s="566">
        <v>39783</v>
      </c>
      <c r="AM26" s="566">
        <v>39814</v>
      </c>
      <c r="AN26" s="566">
        <v>39845</v>
      </c>
      <c r="AO26" s="566">
        <v>39873</v>
      </c>
      <c r="AP26" s="566">
        <v>39904</v>
      </c>
      <c r="AQ26" s="566">
        <v>39934</v>
      </c>
      <c r="AR26" s="566">
        <v>39965</v>
      </c>
      <c r="AS26" s="566">
        <v>39995</v>
      </c>
      <c r="AT26" s="566">
        <v>40026</v>
      </c>
      <c r="AU26" s="566">
        <v>40057</v>
      </c>
      <c r="AV26" s="566">
        <v>40087</v>
      </c>
      <c r="AW26" s="566">
        <v>40118</v>
      </c>
      <c r="AX26" s="566">
        <v>40148</v>
      </c>
      <c r="AY26" s="566">
        <v>40179</v>
      </c>
      <c r="AZ26" s="566">
        <v>40210</v>
      </c>
      <c r="BA26" s="566">
        <v>40238</v>
      </c>
      <c r="BB26" s="566">
        <v>40269</v>
      </c>
      <c r="BC26" s="566">
        <v>40299</v>
      </c>
      <c r="BD26" s="566">
        <v>40330</v>
      </c>
      <c r="BE26" s="566">
        <v>40360</v>
      </c>
      <c r="BF26" s="566">
        <v>40391</v>
      </c>
      <c r="BG26" s="566">
        <v>40422</v>
      </c>
      <c r="BH26" s="566">
        <v>40452</v>
      </c>
      <c r="BI26" s="566">
        <v>40483</v>
      </c>
      <c r="BJ26" s="566">
        <v>40513</v>
      </c>
      <c r="BK26" s="566">
        <v>40544</v>
      </c>
      <c r="BL26" s="566">
        <v>40575</v>
      </c>
      <c r="BM26" s="566">
        <v>40603</v>
      </c>
      <c r="BN26" s="566">
        <v>40634</v>
      </c>
      <c r="BO26" s="566">
        <v>40664</v>
      </c>
      <c r="BP26" s="566">
        <v>40695</v>
      </c>
      <c r="BQ26" s="566">
        <v>40725</v>
      </c>
      <c r="BR26" s="566">
        <v>40756</v>
      </c>
      <c r="BS26" s="566">
        <v>40787</v>
      </c>
      <c r="BT26" s="566">
        <v>40817</v>
      </c>
      <c r="BU26" s="566">
        <v>40848</v>
      </c>
      <c r="BV26" s="566">
        <v>40878</v>
      </c>
      <c r="BW26" s="566">
        <v>40909</v>
      </c>
      <c r="BX26" s="566">
        <v>40940</v>
      </c>
      <c r="BY26" s="566">
        <v>40969</v>
      </c>
      <c r="BZ26" s="566">
        <v>41000</v>
      </c>
      <c r="CA26" s="566">
        <v>41030</v>
      </c>
      <c r="CB26" s="566">
        <v>41061</v>
      </c>
      <c r="CC26" s="566">
        <v>41091</v>
      </c>
      <c r="CD26" s="566">
        <v>41122</v>
      </c>
      <c r="CE26" s="566">
        <v>41153</v>
      </c>
      <c r="CF26" s="566">
        <v>41183</v>
      </c>
      <c r="CG26" s="566">
        <v>41214</v>
      </c>
      <c r="CH26" s="566">
        <v>41244</v>
      </c>
    </row>
    <row r="27" spans="2:88">
      <c r="B27" t="s">
        <v>2087</v>
      </c>
      <c r="C27" s="566"/>
      <c r="D27" s="566"/>
      <c r="E27" s="566"/>
      <c r="F27" s="566"/>
      <c r="G27" s="566"/>
      <c r="H27" s="566"/>
      <c r="I27" s="566"/>
      <c r="J27" s="566"/>
      <c r="K27" s="566"/>
      <c r="L27" s="566"/>
      <c r="M27" s="566"/>
      <c r="N27" s="566"/>
      <c r="O27" s="566"/>
      <c r="P27" s="566"/>
      <c r="Q27" s="566"/>
      <c r="R27" s="566"/>
      <c r="S27" s="566"/>
      <c r="T27" s="566"/>
      <c r="U27" s="566"/>
      <c r="V27" s="566"/>
      <c r="W27" s="566"/>
      <c r="X27" s="566"/>
      <c r="Y27" s="566"/>
      <c r="Z27" s="566"/>
      <c r="AA27" s="566"/>
      <c r="AB27" s="566"/>
      <c r="AC27" s="566"/>
      <c r="AD27" s="566"/>
      <c r="AE27" s="566"/>
      <c r="AF27" s="566"/>
      <c r="AG27" s="566"/>
      <c r="AH27" s="566"/>
      <c r="AI27" s="566"/>
      <c r="AJ27" s="566"/>
      <c r="AK27" s="566"/>
      <c r="AL27" s="566"/>
      <c r="AM27" s="566"/>
      <c r="AN27" s="519">
        <v>20277.319667366774</v>
      </c>
      <c r="AO27" s="519">
        <v>19166.896698301032</v>
      </c>
      <c r="AP27" s="519">
        <v>17374.442390262397</v>
      </c>
      <c r="AQ27" s="519">
        <v>12034.92398632183</v>
      </c>
      <c r="AR27" s="519">
        <v>6770.6192069790523</v>
      </c>
      <c r="AS27" s="519">
        <v>7466.9924129686287</v>
      </c>
      <c r="AT27" s="519">
        <v>4825</v>
      </c>
      <c r="AU27" s="519">
        <v>4078.3073929961092</v>
      </c>
      <c r="AV27" s="519">
        <v>6366.6342412451359</v>
      </c>
      <c r="AW27" s="519">
        <v>9894.8443579766536</v>
      </c>
      <c r="AX27" s="519">
        <v>13874.124513618677</v>
      </c>
      <c r="AY27" s="519">
        <v>20492.801556420236</v>
      </c>
      <c r="AZ27" s="519">
        <v>21170.525291828792</v>
      </c>
      <c r="BA27" s="519">
        <v>20269.552529182882</v>
      </c>
      <c r="BB27" s="519">
        <v>16253.307392996108</v>
      </c>
      <c r="BC27" s="519">
        <v>12252.723735408559</v>
      </c>
      <c r="BD27" s="519">
        <v>6848.4435797665365</v>
      </c>
      <c r="BE27" s="519">
        <v>4783.8521400778209</v>
      </c>
      <c r="BF27" s="519">
        <v>4762.9377431906614</v>
      </c>
      <c r="BG27" s="519">
        <v>4337.3540856031132</v>
      </c>
      <c r="BH27" s="519">
        <v>5470.7198443579773</v>
      </c>
      <c r="BI27" s="519">
        <v>8332.6848249027225</v>
      </c>
      <c r="BJ27" s="519">
        <v>13868.774319066148</v>
      </c>
      <c r="BK27" s="519">
        <v>23067.996108949417</v>
      </c>
      <c r="BL27" s="519">
        <v>19736.964980544748</v>
      </c>
      <c r="BM27" s="519">
        <v>15862.354085603114</v>
      </c>
      <c r="BN27" s="519">
        <v>13083.463035019455</v>
      </c>
      <c r="BO27" s="519">
        <v>11266.147859922179</v>
      </c>
      <c r="BP27" s="519">
        <v>7149.4163424124508</v>
      </c>
      <c r="BQ27" s="519">
        <v>3075.6809338521398</v>
      </c>
      <c r="BR27" s="519">
        <v>3097.8167315175097</v>
      </c>
      <c r="BS27" s="519">
        <v>5199.8700389105052</v>
      </c>
      <c r="BT27" s="519">
        <v>7559.3741245136189</v>
      </c>
      <c r="BU27" s="519">
        <v>8749.2252918287941</v>
      </c>
      <c r="BV27" s="519">
        <v>13452.546498054473</v>
      </c>
      <c r="BW27" s="519">
        <v>15281.564591439688</v>
      </c>
      <c r="BX27" s="519">
        <v>17070.288715953306</v>
      </c>
      <c r="BY27" s="519">
        <v>15160.682684824902</v>
      </c>
      <c r="BZ27" s="519">
        <v>11727.800583657587</v>
      </c>
      <c r="CA27" s="519">
        <v>8455.0690661478602</v>
      </c>
      <c r="CB27" s="519">
        <v>6316.105252918288</v>
      </c>
      <c r="CC27" s="519">
        <v>3987.8725680933853</v>
      </c>
      <c r="CD27" s="519">
        <v>3900.6202334630352</v>
      </c>
      <c r="CE27" s="519">
        <v>5222.2214007782095</v>
      </c>
      <c r="CF27" s="519">
        <v>5695.2910505836571</v>
      </c>
      <c r="CG27" s="519">
        <v>9121.9188715953314</v>
      </c>
      <c r="CH27" s="519">
        <v>16488.948249027238</v>
      </c>
      <c r="CI27" s="519">
        <v>17011.847081712061</v>
      </c>
    </row>
    <row r="28" spans="2:88">
      <c r="B28" t="s">
        <v>2086</v>
      </c>
      <c r="C28" s="566"/>
      <c r="D28" s="566"/>
      <c r="E28" s="566"/>
      <c r="F28" s="566"/>
      <c r="G28" s="566"/>
      <c r="H28" s="566"/>
      <c r="I28" s="566"/>
      <c r="J28" s="566"/>
      <c r="K28" s="566"/>
      <c r="L28" s="566"/>
      <c r="M28" s="566"/>
      <c r="N28" s="566"/>
      <c r="O28" s="566"/>
      <c r="P28" s="566"/>
      <c r="Q28" s="566"/>
      <c r="R28" s="566"/>
      <c r="S28" s="566"/>
      <c r="T28" s="566"/>
      <c r="U28" s="566"/>
      <c r="V28" s="566"/>
      <c r="W28" s="566"/>
      <c r="X28" s="566"/>
      <c r="Y28" s="566"/>
      <c r="Z28" s="566"/>
      <c r="AA28" s="566"/>
      <c r="AB28" s="566"/>
      <c r="AC28" s="566"/>
      <c r="AD28" s="566"/>
      <c r="AE28" s="566"/>
      <c r="AF28" s="566"/>
      <c r="AG28" s="566"/>
      <c r="AH28" s="566"/>
      <c r="AI28" s="566"/>
      <c r="AJ28" s="566"/>
      <c r="AK28" s="566"/>
      <c r="AL28" s="566"/>
      <c r="AM28" s="972">
        <v>5000</v>
      </c>
      <c r="AN28" s="231">
        <v>2363.8132295719843</v>
      </c>
      <c r="AO28" s="519">
        <v>732.49027237354085</v>
      </c>
      <c r="AP28" s="519">
        <v>9621.5953307392992</v>
      </c>
      <c r="AQ28" s="519">
        <v>24427.042801556421</v>
      </c>
      <c r="AR28" s="519">
        <v>1283.0739299610893</v>
      </c>
      <c r="AS28" s="519">
        <v>9.727626459143969E-2</v>
      </c>
      <c r="AT28" s="519">
        <v>20.428015564202333</v>
      </c>
      <c r="AU28" s="519">
        <v>0</v>
      </c>
      <c r="AV28" s="519">
        <v>22598.249027237354</v>
      </c>
      <c r="AW28" s="519">
        <v>10544.747081712063</v>
      </c>
      <c r="AX28" s="519">
        <v>2392.9961089494163</v>
      </c>
      <c r="AY28" s="519">
        <v>426.07003891050584</v>
      </c>
      <c r="AZ28" s="519">
        <v>455.25291828793775</v>
      </c>
      <c r="BA28" s="519">
        <v>809.33852140077818</v>
      </c>
      <c r="BB28" s="519">
        <v>460.11673151750972</v>
      </c>
      <c r="BC28" s="519">
        <v>14.591439688715953</v>
      </c>
      <c r="BD28" s="519">
        <v>35.992217898832685</v>
      </c>
      <c r="BE28" s="519">
        <v>287.93774319066148</v>
      </c>
      <c r="BF28" s="519">
        <v>6.809338521400778</v>
      </c>
      <c r="BG28" s="519">
        <v>122.568093385214</v>
      </c>
      <c r="BH28" s="519">
        <v>88.521400778210122</v>
      </c>
      <c r="BI28" s="519">
        <v>33570.038910505835</v>
      </c>
      <c r="BJ28" s="519">
        <v>7768.4824902723731</v>
      </c>
      <c r="BK28" s="519">
        <v>1793.7743190661479</v>
      </c>
      <c r="BL28" s="519">
        <v>904.66926070038903</v>
      </c>
      <c r="BM28" s="519">
        <v>5193.5797665369646</v>
      </c>
      <c r="BN28" s="519">
        <v>424.12451361867704</v>
      </c>
      <c r="BO28" s="519">
        <v>22.373540856031127</v>
      </c>
      <c r="BP28" s="519">
        <v>0</v>
      </c>
      <c r="BQ28" s="519">
        <v>19.319066147859925</v>
      </c>
      <c r="BR28" s="519">
        <v>102.14007782101167</v>
      </c>
      <c r="BS28" s="519">
        <v>29.182879377431906</v>
      </c>
      <c r="BT28" s="519">
        <v>36.964980544747085</v>
      </c>
      <c r="BU28" s="519">
        <v>628.4046692607003</v>
      </c>
      <c r="BV28" s="519">
        <v>2520.4280155642023</v>
      </c>
      <c r="BW28" s="519">
        <v>263.61867704280155</v>
      </c>
      <c r="BX28" s="519">
        <v>260.70038910505838</v>
      </c>
      <c r="BY28" s="519">
        <v>1276.2645914396887</v>
      </c>
      <c r="BZ28" s="519">
        <v>3632.2957198443578</v>
      </c>
      <c r="CA28" s="519">
        <v>15808.365758754864</v>
      </c>
      <c r="CB28" s="519">
        <v>42546.69260700389</v>
      </c>
      <c r="CC28" s="519">
        <v>28884.241245136185</v>
      </c>
      <c r="CD28" s="519">
        <v>20120.622568093382</v>
      </c>
      <c r="CE28" s="519">
        <v>31324.902723735409</v>
      </c>
      <c r="CF28" s="519">
        <v>50964.980544747079</v>
      </c>
      <c r="CG28" s="519">
        <v>31410.505836575874</v>
      </c>
      <c r="CH28" s="519">
        <v>30318.093385214008</v>
      </c>
      <c r="CI28" s="519">
        <v>18001.945525291827</v>
      </c>
      <c r="CJ28" s="519">
        <f t="shared" ref="CJ28" si="10">CI27/1.028/1000000</f>
        <v>1.6548489379097336E-2</v>
      </c>
    </row>
    <row r="29" spans="2:88">
      <c r="B29" t="s">
        <v>980</v>
      </c>
      <c r="C29" s="226">
        <f>'2006 ATMOS NG Billed Volumes'!$C15</f>
        <v>36831.213300000003</v>
      </c>
      <c r="D29" s="226">
        <f>'2006 ATMOS NG Billed Volumes'!$D15</f>
        <v>35153.455000000002</v>
      </c>
      <c r="E29" s="226">
        <f>'2006 ATMOS NG Billed Volumes'!$E15</f>
        <v>31187.912099999998</v>
      </c>
      <c r="F29" s="226">
        <f>'2006 ATMOS NG Billed Volumes'!$F15</f>
        <v>15546.250900000001</v>
      </c>
      <c r="G29" s="226">
        <f>'2006 ATMOS NG Billed Volumes'!$G15</f>
        <v>9904.1728000000003</v>
      </c>
      <c r="H29" s="226">
        <f>'2006 ATMOS NG Billed Volumes'!$H15</f>
        <v>6302.4161000000004</v>
      </c>
      <c r="I29" s="226">
        <f>'2006 ATMOS NG Billed Volumes'!$I15</f>
        <v>4420.3019999999997</v>
      </c>
      <c r="J29" s="226">
        <f>'2006 ATMOS NG Billed Volumes'!$J15</f>
        <v>4565.924500000001</v>
      </c>
      <c r="K29" s="226">
        <f>'2006 ATMOS NG Billed Volumes'!$K15</f>
        <v>5092.1939000000002</v>
      </c>
      <c r="L29" s="226">
        <f>'2006 ATMOS NG Billed Volumes'!$L15</f>
        <v>11010.0779</v>
      </c>
      <c r="M29" s="226">
        <f>'2006 ATMOS NG Billed Volumes'!$M15</f>
        <v>21776.653699999999</v>
      </c>
      <c r="N29" s="226">
        <f>'2006 ATMOS NG Billed Volumes'!$N15</f>
        <v>29636.906800000004</v>
      </c>
      <c r="O29" s="226">
        <f>'2007 ATMOS NG Billed Volumes'!$C15</f>
        <v>35183.369300000006</v>
      </c>
      <c r="P29" s="226">
        <f>'2007 ATMOS NG Billed Volumes'!$D15</f>
        <v>50264.076399999998</v>
      </c>
      <c r="Q29" s="226">
        <f>'2007 ATMOS NG Billed Volumes'!$E15</f>
        <v>31208.509699999999</v>
      </c>
      <c r="R29" s="226">
        <f>'2007 ATMOS NG Billed Volumes'!$F15</f>
        <v>20260.465900000003</v>
      </c>
      <c r="S29" s="226">
        <f>'2007 ATMOS NG Billed Volumes'!$G15</f>
        <v>9737.2582000000002</v>
      </c>
      <c r="T29" s="226">
        <f>'2007 ATMOS NG Billed Volumes'!$H15</f>
        <v>5189.5718000000006</v>
      </c>
      <c r="U29" s="226">
        <f>'2007 ATMOS NG Billed Volumes'!$I15</f>
        <v>4622.0011000000004</v>
      </c>
      <c r="V29" s="226">
        <f>'2007 ATMOS NG Billed Volumes'!$J15</f>
        <v>5880.1518999999998</v>
      </c>
      <c r="W29" s="226">
        <f>'2007 ATMOS NG Billed Volumes'!$K15</f>
        <v>4768.8932000000004</v>
      </c>
      <c r="X29" s="226">
        <f>'2007 ATMOS NG Billed Volumes'!$L15</f>
        <v>6594.0848999999998</v>
      </c>
      <c r="Y29" s="226">
        <f>'2007 ATMOS NG Billed Volumes'!$M15</f>
        <v>19807.295100000003</v>
      </c>
      <c r="Z29" s="226">
        <f>'2007 ATMOS NG Billed Volumes'!$N15</f>
        <v>29984.1531</v>
      </c>
      <c r="AA29" s="226">
        <f>'2008 ATMOS NG Billed Volumes'!$C15</f>
        <v>41933.681700000001</v>
      </c>
      <c r="AB29" s="226">
        <f>'2008 ATMOS NG Billed Volumes'!$D15</f>
        <v>37432.508700000006</v>
      </c>
      <c r="AC29" s="226">
        <f>'2008 ATMOS NG Billed Volumes'!$E15</f>
        <v>30270.623100000001</v>
      </c>
      <c r="AD29" s="226">
        <f>'2008 ATMOS NG Billed Volumes'!$F15</f>
        <v>19272.873800000001</v>
      </c>
      <c r="AE29" s="226">
        <f>'2008 ATMOS NG Billed Volumes'!$G15</f>
        <v>9231.8570999999993</v>
      </c>
      <c r="AF29" s="226">
        <f>'2008 ATMOS NG Billed Volumes'!$H15</f>
        <v>5602.3205999999991</v>
      </c>
      <c r="AG29" s="226">
        <f>'2008 ATMOS NG Billed Volumes'!$I15</f>
        <v>4826.2281000000003</v>
      </c>
      <c r="AH29" s="226">
        <f>'2008 ATMOS NG Billed Volumes'!$J15</f>
        <v>3978.9863</v>
      </c>
      <c r="AI29" s="226">
        <f>'2008 ATMOS NG Billed Volumes'!$K15</f>
        <v>4900.5215000000007</v>
      </c>
      <c r="AJ29" s="226">
        <f>'2008 ATMOS NG Billed Volumes'!$L15</f>
        <v>9665.9444999999996</v>
      </c>
      <c r="AK29" s="226">
        <f>'2008 ATMOS NG Billed Volumes'!$M15</f>
        <v>22491.519500000002</v>
      </c>
      <c r="AL29" s="226">
        <f>'2008 ATMOS NG Billed Volumes'!$N15</f>
        <v>40354.7546</v>
      </c>
      <c r="AM29" s="226">
        <f>'2009 ATMOS NG Billed Volumes'!$C15</f>
        <v>39792.169300000001</v>
      </c>
      <c r="AN29" s="226">
        <f>'2009 ATMOS NG Billed Volumes'!$D15</f>
        <v>41073.006499999996</v>
      </c>
      <c r="AO29" s="226">
        <f>'2009 ATMOS NG Billed Volumes'!$E15</f>
        <v>32706.830900000004</v>
      </c>
      <c r="AP29" s="226">
        <f>'2009 ATMOS NG Billed Volumes'!$F15</f>
        <v>19568.701699999998</v>
      </c>
      <c r="AQ29" s="226">
        <f>'2009 ATMOS NG Billed Volumes'!$G15</f>
        <v>8418.6267000000007</v>
      </c>
      <c r="AR29" s="226">
        <f>'2009 ATMOS NG Billed Volumes'!$H15</f>
        <v>5079.9768000000004</v>
      </c>
      <c r="AS29" s="226">
        <f>'2009 ATMOS NG Billed Volumes'!$I15</f>
        <v>4508.5135</v>
      </c>
      <c r="AT29" s="226">
        <f>'2009 ATMOS NG Billed Volumes'!$J15</f>
        <v>4263.4625999999998</v>
      </c>
      <c r="AU29" s="226">
        <f>'2009 ATMOS NG Billed Volumes'!$K15</f>
        <v>4561.5181999999995</v>
      </c>
      <c r="AV29" s="226">
        <f>'2009 ATMOS NG Billed Volumes'!$L15</f>
        <v>9985.1790000000001</v>
      </c>
      <c r="AW29" s="226">
        <f>'2009 ATMOS NG Billed Volumes'!$M15</f>
        <v>16696.498100000001</v>
      </c>
      <c r="AX29" s="226">
        <f>'2009 ATMOS NG Billed Volumes'!$N15</f>
        <v>34335.029800000004</v>
      </c>
      <c r="AY29" s="226">
        <f>'2010 ATMOS NG Billed Volumes'!$C15</f>
        <v>57994.900700000006</v>
      </c>
      <c r="AZ29" s="226">
        <f>'2010 ATMOS NG Billed Volumes'!$D15</f>
        <v>48445.709699999999</v>
      </c>
      <c r="BA29" s="226">
        <f>'2010 ATMOS NG Billed Volumes'!$E15</f>
        <v>34838.571000000004</v>
      </c>
      <c r="BB29" s="226">
        <f>'2010 ATMOS NG Billed Volumes'!$F15</f>
        <v>15088.16</v>
      </c>
      <c r="BC29" s="226">
        <f>'2010 ATMOS NG Billed Volumes'!$G15</f>
        <v>7488.94</v>
      </c>
      <c r="BD29" s="226">
        <f>'2010 ATMOS NG Billed Volumes'!$H15</f>
        <v>4674.6899999999996</v>
      </c>
      <c r="BE29" s="226">
        <f>'2010 ATMOS NG Billed Volumes'!$I15</f>
        <v>3959.22</v>
      </c>
      <c r="BF29" s="226">
        <f>'2010 ATMOS NG Billed Volumes'!$J15</f>
        <v>3898.53</v>
      </c>
      <c r="BG29" s="226">
        <f>'2010 ATMOS NG Billed Volumes'!$K15</f>
        <v>4608.3999999999996</v>
      </c>
      <c r="BH29" s="226">
        <f>'2010 ATMOS NG Billed Volumes'!$L15</f>
        <v>7338.73</v>
      </c>
      <c r="BI29" s="226">
        <f>'2010 ATMOS NG Billed Volumes'!$M15</f>
        <v>16797.48</v>
      </c>
      <c r="BJ29" s="226">
        <f>'2010 ATMOS NG Billed Volumes'!$N15</f>
        <v>46700.44</v>
      </c>
      <c r="BK29" s="226">
        <f>'2011 ATMOS NG Billed Volumes'!$C15</f>
        <v>51887.16</v>
      </c>
      <c r="BL29" s="226">
        <f>'2011 ATMOS NG Billed Volumes'!$D15</f>
        <v>41883.15</v>
      </c>
      <c r="BM29" s="226">
        <f>'2011 ATMOS NG Billed Volumes'!$E15</f>
        <v>28892.39</v>
      </c>
      <c r="BN29" s="226">
        <f>'2011 ATMOS NG Billed Volumes'!$F15</f>
        <v>20882.52</v>
      </c>
      <c r="BO29" s="226">
        <f>'2011 ATMOS NG Billed Volumes'!$G15</f>
        <v>8603.2999999999993</v>
      </c>
      <c r="BP29" s="226">
        <f>'2011 ATMOS NG Billed Volumes'!$H15</f>
        <v>4909.67</v>
      </c>
      <c r="BQ29" s="226">
        <f>'2011 ATMOS NG Billed Volumes'!$I15</f>
        <v>4136.5</v>
      </c>
      <c r="BR29" s="226">
        <f>'2011 ATMOS NG Billed Volumes'!$J15</f>
        <v>3940.29</v>
      </c>
      <c r="BS29" s="226">
        <f>'2011 ATMOS NG Billed Volumes'!$K15</f>
        <v>4972.2700000000004</v>
      </c>
      <c r="BT29" s="226">
        <f>'2011 ATMOS NG Billed Volumes'!$L15</f>
        <v>8522.17</v>
      </c>
      <c r="BU29" s="226">
        <f>'2011 ATMOS NG Billed Volumes'!$M15</f>
        <v>19109.43</v>
      </c>
      <c r="BV29" s="226">
        <f>'2011 ATMOS NG Billed Volumes'!$N15</f>
        <v>27662.560000000001</v>
      </c>
      <c r="BW29" s="226">
        <f>'2012 ATMOS NG Billed Volumes'!$C15</f>
        <v>39383.660000000003</v>
      </c>
      <c r="BX29" s="226">
        <f>'2012 ATMOS NG Billed Volumes'!$D15</f>
        <v>34724.49</v>
      </c>
      <c r="BY29" s="226">
        <f>'2012 ATMOS NG Billed Volumes'!$E15</f>
        <v>24517.83</v>
      </c>
      <c r="BZ29" s="226">
        <f>'2012 ATMOS NG Billed Volumes'!$F15</f>
        <v>12237.32</v>
      </c>
      <c r="CA29" s="226">
        <f>'2012 ATMOS NG Billed Volumes'!$G15</f>
        <v>8814.1</v>
      </c>
      <c r="CB29" s="226">
        <f>'2012 ATMOS NG Billed Volumes'!$H15</f>
        <v>5018.25</v>
      </c>
      <c r="CC29" s="226">
        <f>'2012 ATMOS NG Billed Volumes'!$I15</f>
        <v>4287.33</v>
      </c>
      <c r="CD29" s="226">
        <f>'2012 ATMOS NG Billed Volumes'!$J15</f>
        <v>4000.53</v>
      </c>
      <c r="CE29" s="226">
        <f>'2012 ATMOS NG Billed Volumes'!$K15</f>
        <v>4844.91</v>
      </c>
      <c r="CF29" s="226">
        <f>'2012 ATMOS NG Billed Volumes'!$L15</f>
        <v>9660.8799999999992</v>
      </c>
      <c r="CG29" s="226">
        <f>'2012 ATMOS NG Billed Volumes'!$M15</f>
        <v>25206.49</v>
      </c>
      <c r="CH29" s="226">
        <f>'2012 ATMOS NG Billed Volumes'!$N15</f>
        <v>30089.58</v>
      </c>
    </row>
    <row r="30" spans="2:88">
      <c r="B30" t="s">
        <v>981</v>
      </c>
      <c r="C30" s="226">
        <f>'2006 ATMOS NG Billed Volumes'!$C33</f>
        <v>56192.109700000001</v>
      </c>
      <c r="D30" s="226">
        <f>'2006 ATMOS NG Billed Volumes'!$D33</f>
        <v>53899.271500000003</v>
      </c>
      <c r="E30" s="226">
        <f>'2006 ATMOS NG Billed Volumes'!$E33</f>
        <v>50143.9977</v>
      </c>
      <c r="F30" s="226">
        <f>'2006 ATMOS NG Billed Volumes'!$F33</f>
        <v>30012.625400000001</v>
      </c>
      <c r="G30" s="226">
        <f>'2006 ATMOS NG Billed Volumes'!$G33</f>
        <v>20961.864799999999</v>
      </c>
      <c r="H30" s="226">
        <f>'2006 ATMOS NG Billed Volumes'!$H33</f>
        <v>15334.4193</v>
      </c>
      <c r="I30" s="226">
        <f>'2006 ATMOS NG Billed Volumes'!$I33</f>
        <v>9156.7822999999989</v>
      </c>
      <c r="J30" s="226">
        <f>'2006 ATMOS NG Billed Volumes'!$J33</f>
        <v>15039.1661</v>
      </c>
      <c r="K30" s="226">
        <f>'2006 ATMOS NG Billed Volumes'!$K33</f>
        <v>13889.0407</v>
      </c>
      <c r="L30" s="226">
        <f>'2006 ATMOS NG Billed Volumes'!$L33</f>
        <v>21640.547300000002</v>
      </c>
      <c r="M30" s="226">
        <f>'2006 ATMOS NG Billed Volumes'!$M33</f>
        <v>36275.689599999998</v>
      </c>
      <c r="N30" s="226">
        <f>'2006 ATMOS NG Billed Volumes'!$N33</f>
        <v>45869.905500000001</v>
      </c>
      <c r="O30" s="226">
        <f>'2007 ATMOS NG Billed Volumes'!$C33</f>
        <v>51760.100200000001</v>
      </c>
      <c r="P30" s="226">
        <f>'2007 ATMOS NG Billed Volumes'!$D33</f>
        <v>67587.818100000004</v>
      </c>
      <c r="Q30" s="226">
        <f>'2007 ATMOS NG Billed Volumes'!$E33</f>
        <v>49489.548699999999</v>
      </c>
      <c r="R30" s="226">
        <f>'2007 ATMOS NG Billed Volumes'!$F33</f>
        <v>33147.326700000005</v>
      </c>
      <c r="S30" s="226">
        <f>'2007 ATMOS NG Billed Volumes'!$G33</f>
        <v>22065.050599999999</v>
      </c>
      <c r="T30" s="226">
        <f>'2007 ATMOS NG Billed Volumes'!$H33</f>
        <v>13685.7996</v>
      </c>
      <c r="U30" s="226">
        <f>'2007 ATMOS NG Billed Volumes'!$I33</f>
        <v>12153.657999999999</v>
      </c>
      <c r="V30" s="226">
        <f>'2007 ATMOS NG Billed Volumes'!$J33</f>
        <v>13086.9529</v>
      </c>
      <c r="W30" s="226">
        <f>'2007 ATMOS NG Billed Volumes'!$K33</f>
        <v>13010.1558</v>
      </c>
      <c r="X30" s="226">
        <f>'2007 ATMOS NG Billed Volumes'!$L33</f>
        <v>16567.899799999999</v>
      </c>
      <c r="Y30" s="226">
        <f>'2007 ATMOS NG Billed Volumes'!$M33</f>
        <v>29537.304400000005</v>
      </c>
      <c r="Z30" s="226">
        <f>'2007 ATMOS NG Billed Volumes'!$N33</f>
        <v>49847.385800000004</v>
      </c>
      <c r="AA30" s="226">
        <f>'2008 ATMOS NG Billed Volumes'!$C33</f>
        <v>60142.3194</v>
      </c>
      <c r="AB30" s="226">
        <f>'2008 ATMOS NG Billed Volumes'!$D33</f>
        <v>54716.3557</v>
      </c>
      <c r="AC30" s="226">
        <f>'2008 ATMOS NG Billed Volumes'!$E33</f>
        <v>46849.132299999997</v>
      </c>
      <c r="AD30" s="226">
        <f>'2008 ATMOS NG Billed Volumes'!$F33</f>
        <v>35284.890699999996</v>
      </c>
      <c r="AE30" s="226">
        <f>'2008 ATMOS NG Billed Volumes'!$G33</f>
        <v>21613.571199999998</v>
      </c>
      <c r="AF30" s="226">
        <f>'2008 ATMOS NG Billed Volumes'!$H33</f>
        <v>14390.172899999998</v>
      </c>
      <c r="AG30" s="226">
        <f>'2008 ATMOS NG Billed Volumes'!$I33</f>
        <v>13254.911100000001</v>
      </c>
      <c r="AH30" s="226">
        <f>'2008 ATMOS NG Billed Volumes'!$J33</f>
        <v>11491.079</v>
      </c>
      <c r="AI30" s="226">
        <f>'2008 ATMOS NG Billed Volumes'!$K33</f>
        <v>14541.3343</v>
      </c>
      <c r="AJ30" s="226">
        <f>'2008 ATMOS NG Billed Volumes'!$L33</f>
        <v>22666.082899999998</v>
      </c>
      <c r="AK30" s="226">
        <f>'2008 ATMOS NG Billed Volumes'!$M33</f>
        <v>36283.054100000001</v>
      </c>
      <c r="AL30" s="226">
        <f>'2008 ATMOS NG Billed Volumes'!$N33</f>
        <v>60379.450899999996</v>
      </c>
      <c r="AM30" s="226">
        <f>'2009 ATMOS NG Billed Volumes'!$C33</f>
        <v>59615.078800000003</v>
      </c>
      <c r="AN30" s="226">
        <f>'2009 ATMOS NG Billed Volumes'!$D33</f>
        <v>62342.497700000007</v>
      </c>
      <c r="AO30" s="226">
        <f>'2009 ATMOS NG Billed Volumes'!$E33</f>
        <v>52020.748</v>
      </c>
      <c r="AP30" s="226">
        <f>'2009 ATMOS NG Billed Volumes'!$F33</f>
        <v>37640.168799999999</v>
      </c>
      <c r="AQ30" s="226">
        <f>'2009 ATMOS NG Billed Volumes'!$G33</f>
        <v>21998.2929</v>
      </c>
      <c r="AR30" s="226">
        <f>'2009 ATMOS NG Billed Volumes'!$H33</f>
        <v>14688.573900000001</v>
      </c>
      <c r="AS30" s="226">
        <f>'2009 ATMOS NG Billed Volumes'!$I33</f>
        <v>13506.171699999999</v>
      </c>
      <c r="AT30" s="226">
        <f>'2009 ATMOS NG Billed Volumes'!$J33</f>
        <v>13892.954</v>
      </c>
      <c r="AU30" s="226">
        <f>'2009 ATMOS NG Billed Volumes'!$K33</f>
        <v>15470.269</v>
      </c>
      <c r="AV30" s="226">
        <f>'2009 ATMOS NG Billed Volumes'!$L33</f>
        <v>23051.412100000001</v>
      </c>
      <c r="AW30" s="226">
        <f>'2009 ATMOS NG Billed Volumes'!$M33</f>
        <v>34850.851999999999</v>
      </c>
      <c r="AX30" s="226">
        <f>'2009 ATMOS NG Billed Volumes'!$N33</f>
        <v>56253.834900000002</v>
      </c>
      <c r="AY30" s="226">
        <f>'2010 ATMOS NG Billed Volumes'!$C33</f>
        <v>77234.172600000005</v>
      </c>
      <c r="AZ30" s="226">
        <f>'2010 ATMOS NG Billed Volumes'!$D33</f>
        <v>70832.408200000005</v>
      </c>
      <c r="BA30" s="226">
        <f>'2010 ATMOS NG Billed Volumes'!$E33</f>
        <v>58583.115599999997</v>
      </c>
      <c r="BB30" s="226">
        <f>'2010 ATMOS NG Billed Volumes'!$F33</f>
        <v>29726.42</v>
      </c>
      <c r="BC30" s="226">
        <f>'2010 ATMOS NG Billed Volumes'!$G33</f>
        <v>18770.12</v>
      </c>
      <c r="BD30" s="226">
        <f>'2010 ATMOS NG Billed Volumes'!$H33</f>
        <v>13360.53</v>
      </c>
      <c r="BE30" s="226">
        <f>'2010 ATMOS NG Billed Volumes'!$I33</f>
        <v>11791.66</v>
      </c>
      <c r="BF30" s="226">
        <f>'2010 ATMOS NG Billed Volumes'!$J33</f>
        <v>10995.94</v>
      </c>
      <c r="BG30" s="226">
        <f>'2010 ATMOS NG Billed Volumes'!$K33</f>
        <v>14221.61</v>
      </c>
      <c r="BH30" s="226">
        <f>'2010 ATMOS NG Billed Volumes'!$L33</f>
        <v>17709.560000000001</v>
      </c>
      <c r="BI30" s="226">
        <f>'2010 ATMOS NG Billed Volumes'!$M33</f>
        <v>28637.02</v>
      </c>
      <c r="BJ30" s="226">
        <f>'2010 ATMOS NG Billed Volumes'!$N33</f>
        <v>64807.49</v>
      </c>
      <c r="BK30" s="226">
        <f>'2011 ATMOS NG Billed Volumes'!$C33</f>
        <v>70196.39</v>
      </c>
      <c r="BL30" s="226">
        <f>'2011 ATMOS NG Billed Volumes'!$D33</f>
        <v>60505.61</v>
      </c>
      <c r="BM30" s="226">
        <f>'2011 ATMOS NG Billed Volumes'!$E33</f>
        <v>44033.13</v>
      </c>
      <c r="BN30" s="226">
        <f>'2011 ATMOS NG Billed Volumes'!$F33</f>
        <v>35485.29</v>
      </c>
      <c r="BO30" s="226">
        <f>'2011 ATMOS NG Billed Volumes'!$G33</f>
        <v>20260.29</v>
      </c>
      <c r="BP30" s="226">
        <f>'2011 ATMOS NG Billed Volumes'!$H33</f>
        <v>12791.51</v>
      </c>
      <c r="BQ30" s="226">
        <f>'2011 ATMOS NG Billed Volumes'!$I33</f>
        <v>11315.54</v>
      </c>
      <c r="BR30" s="226">
        <f>'2011 ATMOS NG Billed Volumes'!$J33</f>
        <v>11747.54</v>
      </c>
      <c r="BS30" s="226">
        <f>'2011 ATMOS NG Billed Volumes'!$K33</f>
        <v>14563.57</v>
      </c>
      <c r="BT30" s="226">
        <f>'2011 ATMOS NG Billed Volumes'!$L33</f>
        <v>19702.599999999999</v>
      </c>
      <c r="BU30" s="226">
        <f>'2011 ATMOS NG Billed Volumes'!$M33</f>
        <v>32152.91</v>
      </c>
      <c r="BV30" s="226">
        <f>'2011 ATMOS NG Billed Volumes'!$N33</f>
        <v>41637.42</v>
      </c>
      <c r="BW30" s="226">
        <f>'2012 ATMOS NG Billed Volumes'!$C33</f>
        <v>52798.57</v>
      </c>
      <c r="BX30" s="226">
        <f>'2012 ATMOS NG Billed Volumes'!$D33</f>
        <v>49382.74</v>
      </c>
      <c r="BY30" s="226">
        <f>'2012 ATMOS NG Billed Volumes'!$E33</f>
        <v>40942.800000000003</v>
      </c>
      <c r="BZ30" s="226">
        <f>'2012 ATMOS NG Billed Volumes'!$F33</f>
        <v>24320.54</v>
      </c>
      <c r="CA30" s="226">
        <f>'2012 ATMOS NG Billed Volumes'!$G33</f>
        <v>20206.2</v>
      </c>
      <c r="CB30" s="226">
        <f>'2012 ATMOS NG Billed Volumes'!$H33</f>
        <v>13182.63</v>
      </c>
      <c r="CC30" s="226">
        <f>'2012 ATMOS NG Billed Volumes'!$I33</f>
        <v>13371.45</v>
      </c>
      <c r="CD30" s="226">
        <f>'2012 ATMOS NG Billed Volumes'!$J33</f>
        <v>11279.33</v>
      </c>
      <c r="CE30" s="226">
        <f>'2012 ATMOS NG Billed Volumes'!$K33</f>
        <v>14083.57</v>
      </c>
      <c r="CF30" s="226">
        <f>'2012 ATMOS NG Billed Volumes'!$L33</f>
        <v>20512.97</v>
      </c>
      <c r="CG30" s="226">
        <f>'2012 ATMOS NG Billed Volumes'!$M33</f>
        <v>37771.730000000003</v>
      </c>
      <c r="CH30" s="226">
        <f>'2012 ATMOS NG Billed Volumes'!$N33</f>
        <v>45215.31</v>
      </c>
    </row>
    <row r="31" spans="2:88">
      <c r="B31" t="s">
        <v>982</v>
      </c>
      <c r="C31" s="226">
        <f>'2006 ATMOS NG Billed Volumes'!$C51</f>
        <v>16252.1314</v>
      </c>
      <c r="D31" s="226">
        <f>'2006 ATMOS NG Billed Volumes'!$D51</f>
        <v>21030.5916</v>
      </c>
      <c r="E31" s="226">
        <f>'2006 ATMOS NG Billed Volumes'!$E51</f>
        <v>21624.705399999999</v>
      </c>
      <c r="F31" s="226">
        <f>'2006 ATMOS NG Billed Volumes'!$F51</f>
        <v>21482.715199999999</v>
      </c>
      <c r="G31" s="226">
        <f>'2006 ATMOS NG Billed Volumes'!$G51</f>
        <v>20985.631799999999</v>
      </c>
      <c r="H31" s="226">
        <f>'2006 ATMOS NG Billed Volumes'!$H51</f>
        <v>22172.1957</v>
      </c>
      <c r="I31" s="226">
        <f>'2006 ATMOS NG Billed Volumes'!$I51</f>
        <v>14748.2417</v>
      </c>
      <c r="J31" s="226">
        <f>'2006 ATMOS NG Billed Volumes'!$J51</f>
        <v>24116.387199999997</v>
      </c>
      <c r="K31" s="226">
        <f>'2006 ATMOS NG Billed Volumes'!$K51</f>
        <v>22549.336199999998</v>
      </c>
      <c r="L31" s="226">
        <f>'2006 ATMOS NG Billed Volumes'!$L51</f>
        <v>16203.386</v>
      </c>
      <c r="M31" s="226">
        <f>'2006 ATMOS NG Billed Volumes'!$M51</f>
        <v>27391.998899999999</v>
      </c>
      <c r="N31" s="226">
        <f>'2006 ATMOS NG Billed Volumes'!$N51</f>
        <v>17258.7143</v>
      </c>
      <c r="O31" s="226">
        <f>'2007 ATMOS NG Billed Volumes'!$C51</f>
        <v>16787.981599999999</v>
      </c>
      <c r="P31" s="226">
        <f>'2007 ATMOS NG Billed Volumes'!$D51</f>
        <v>25344.907999999999</v>
      </c>
      <c r="Q31" s="226">
        <f>'2007 ATMOS NG Billed Volumes'!$E51</f>
        <v>21659.790199999999</v>
      </c>
      <c r="R31" s="226">
        <f>'2007 ATMOS NG Billed Volumes'!$F51</f>
        <v>24679.239699999998</v>
      </c>
      <c r="S31" s="226">
        <f>'2007 ATMOS NG Billed Volumes'!$G51</f>
        <v>27946.099000000002</v>
      </c>
      <c r="T31" s="226">
        <f>'2007 ATMOS NG Billed Volumes'!$H51</f>
        <v>23580.583299999998</v>
      </c>
      <c r="U31" s="226">
        <f>'2007 ATMOS NG Billed Volumes'!$I51</f>
        <v>19905.0713</v>
      </c>
      <c r="V31" s="226">
        <f>'2007 ATMOS NG Billed Volumes'!$J51</f>
        <v>18657.493300000002</v>
      </c>
      <c r="W31" s="226">
        <f>'2007 ATMOS NG Billed Volumes'!$K51</f>
        <v>32167.5242</v>
      </c>
      <c r="X31" s="226">
        <f>'2007 ATMOS NG Billed Volumes'!$L51</f>
        <v>20634.1633</v>
      </c>
      <c r="Y31" s="226">
        <f>'2007 ATMOS NG Billed Volumes'!$M51</f>
        <v>17678.968099999998</v>
      </c>
      <c r="Z31" s="226">
        <f>'2007 ATMOS NG Billed Volumes'!$N51</f>
        <v>24759.414799999999</v>
      </c>
      <c r="AA31" s="226">
        <f>'2008 ATMOS NG Billed Volumes'!$C51</f>
        <v>18820.034299999999</v>
      </c>
      <c r="AB31" s="226">
        <f>'2008 ATMOS NG Billed Volumes'!$D51</f>
        <v>22917.566500000001</v>
      </c>
      <c r="AC31" s="226">
        <f>'2008 ATMOS NG Billed Volumes'!$E51</f>
        <v>22218.890299999999</v>
      </c>
      <c r="AD31" s="226">
        <f>'2008 ATMOS NG Billed Volumes'!$F51</f>
        <v>25542.506600000001</v>
      </c>
      <c r="AE31" s="226">
        <f>'2008 ATMOS NG Billed Volumes'!$G51</f>
        <v>21729.103500000001</v>
      </c>
      <c r="AF31" s="226">
        <f>'2008 ATMOS NG Billed Volumes'!$H51</f>
        <v>20616.046600000001</v>
      </c>
      <c r="AG31" s="226">
        <f>'2008 ATMOS NG Billed Volumes'!$I51</f>
        <v>23209.9113</v>
      </c>
      <c r="AH31" s="226">
        <f>'2008 ATMOS NG Billed Volumes'!$J51</f>
        <v>24466.429100000001</v>
      </c>
      <c r="AI31" s="226">
        <f>'2008 ATMOS NG Billed Volumes'!$K51</f>
        <v>22514.429499999998</v>
      </c>
      <c r="AJ31" s="226">
        <f>'2008 ATMOS NG Billed Volumes'!$L51</f>
        <v>19457.7166</v>
      </c>
      <c r="AK31" s="226">
        <f>'2008 ATMOS NG Billed Volumes'!$M51</f>
        <v>19533.4709</v>
      </c>
      <c r="AL31" s="226">
        <f>'2008 ATMOS NG Billed Volumes'!$N51</f>
        <v>17569.3783</v>
      </c>
      <c r="AM31" s="226">
        <f>'2009 ATMOS NG Billed Volumes'!$C51</f>
        <v>13320.6168</v>
      </c>
      <c r="AN31" s="226">
        <f>'2009 ATMOS NG Billed Volumes'!$D51</f>
        <v>13116.5977</v>
      </c>
      <c r="AO31" s="226">
        <f>'2009 ATMOS NG Billed Volumes'!$E51</f>
        <v>13646.603800000001</v>
      </c>
      <c r="AP31" s="226">
        <f>'2009 ATMOS NG Billed Volumes'!$F51</f>
        <v>15649.898300000001</v>
      </c>
      <c r="AQ31" s="226">
        <f>'2009 ATMOS NG Billed Volumes'!$G51</f>
        <v>12811.988600000001</v>
      </c>
      <c r="AR31" s="226">
        <f>'2009 ATMOS NG Billed Volumes'!$H51</f>
        <v>15960.753700000001</v>
      </c>
      <c r="AS31" s="226">
        <f>'2009 ATMOS NG Billed Volumes'!$I51</f>
        <v>18206.7107</v>
      </c>
      <c r="AT31" s="226">
        <f>'2009 ATMOS NG Billed Volumes'!$J51</f>
        <v>18848.5782</v>
      </c>
      <c r="AU31" s="226">
        <f>'2009 ATMOS NG Billed Volumes'!$K51</f>
        <v>21794.963599999999</v>
      </c>
      <c r="AV31" s="226">
        <f>'2009 ATMOS NG Billed Volumes'!$L51</f>
        <v>17477.3835</v>
      </c>
      <c r="AW31" s="226">
        <f>'2009 ATMOS NG Billed Volumes'!$M51</f>
        <v>22199.486700000001</v>
      </c>
      <c r="AX31" s="226">
        <f>'2009 ATMOS NG Billed Volumes'!$N51</f>
        <v>18861</v>
      </c>
      <c r="AY31" s="226">
        <f>'2010 ATMOS NG Billed Volumes'!$C51</f>
        <v>6923.3243000000002</v>
      </c>
      <c r="AZ31" s="226">
        <f>'2010 ATMOS NG Billed Volumes'!$D51</f>
        <v>4152.4069</v>
      </c>
      <c r="BA31" s="226">
        <f>'2010 ATMOS NG Billed Volumes'!$E51</f>
        <v>4483.6121000000003</v>
      </c>
      <c r="BB31" s="226">
        <f>'2010 ATMOS NG Billed Volumes'!$F51</f>
        <v>5950.44</v>
      </c>
      <c r="BC31" s="226">
        <f>'2010 ATMOS NG Billed Volumes'!$G51</f>
        <v>4665.05</v>
      </c>
      <c r="BD31" s="226">
        <f>'2010 ATMOS NG Billed Volumes'!$H51</f>
        <v>6775.83</v>
      </c>
      <c r="BE31" s="226">
        <f>'2010 ATMOS NG Billed Volumes'!$I51</f>
        <v>6377.05</v>
      </c>
      <c r="BF31" s="226">
        <f>'2010 ATMOS NG Billed Volumes'!$J51</f>
        <v>9238.5400000000009</v>
      </c>
      <c r="BG31" s="226">
        <f>'2010 ATMOS NG Billed Volumes'!$K51</f>
        <v>5620.5</v>
      </c>
      <c r="BH31" s="226">
        <f>'2010 ATMOS NG Billed Volumes'!$L51</f>
        <v>6878.12</v>
      </c>
      <c r="BI31" s="226">
        <f>'2010 ATMOS NG Billed Volumes'!$M51</f>
        <v>7430.58</v>
      </c>
      <c r="BJ31" s="226">
        <f>'2010 ATMOS NG Billed Volumes'!$N51</f>
        <v>5541.56</v>
      </c>
      <c r="BK31" s="226">
        <f>'2011 ATMOS NG Billed Volumes'!$C51</f>
        <v>3827.6</v>
      </c>
      <c r="BL31" s="226">
        <f>'2011 ATMOS NG Billed Volumes'!$D51</f>
        <v>8261.7000000000007</v>
      </c>
      <c r="BM31" s="226">
        <f>'2011 ATMOS NG Billed Volumes'!$E51</f>
        <v>5337.1</v>
      </c>
      <c r="BN31" s="226">
        <f>'2011 ATMOS NG Billed Volumes'!$F51</f>
        <v>10612.63</v>
      </c>
      <c r="BO31" s="226">
        <f>'2011 ATMOS NG Billed Volumes'!$G51</f>
        <v>10868.93</v>
      </c>
      <c r="BP31" s="226">
        <f>'2011 ATMOS NG Billed Volumes'!$H51</f>
        <v>9870.0400000000009</v>
      </c>
      <c r="BQ31" s="226">
        <f>'2011 ATMOS NG Billed Volumes'!$I51</f>
        <v>7185.59</v>
      </c>
      <c r="BR31" s="226">
        <f>'2011 ATMOS NG Billed Volumes'!$J51</f>
        <v>8081.21</v>
      </c>
      <c r="BS31" s="226">
        <f>'2011 ATMOS NG Billed Volumes'!$K51</f>
        <v>6901.75</v>
      </c>
      <c r="BT31" s="226">
        <f>'2011 ATMOS NG Billed Volumes'!$L51</f>
        <v>3749.51</v>
      </c>
      <c r="BU31" s="226">
        <f>'2011 ATMOS NG Billed Volumes'!$M51</f>
        <v>5257.96</v>
      </c>
      <c r="BV31" s="226">
        <f>'2011 ATMOS NG Billed Volumes'!$N51</f>
        <v>4447.62</v>
      </c>
      <c r="BW31" s="226">
        <f>'2012 ATMOS NG Billed Volumes'!$C51</f>
        <v>10856.62</v>
      </c>
      <c r="BX31" s="226">
        <f>'2012 ATMOS NG Billed Volumes'!$D51</f>
        <v>2461.5300000000002</v>
      </c>
      <c r="BY31" s="226">
        <f>'2012 ATMOS NG Billed Volumes'!$E51</f>
        <v>3103.87</v>
      </c>
      <c r="BZ31" s="226">
        <f>'2012 ATMOS NG Billed Volumes'!$F51</f>
        <v>6149.98</v>
      </c>
      <c r="CA31" s="226">
        <f>'2012 ATMOS NG Billed Volumes'!$G51</f>
        <v>6278.76</v>
      </c>
      <c r="CB31" s="226">
        <f>'2012 ATMOS NG Billed Volumes'!$H51</f>
        <v>532.38</v>
      </c>
      <c r="CC31" s="226">
        <f>'2012 ATMOS NG Billed Volumes'!$I51</f>
        <v>757.88</v>
      </c>
      <c r="CD31" s="226">
        <f>'2012 ATMOS NG Billed Volumes'!$J51</f>
        <v>686.28</v>
      </c>
      <c r="CE31" s="226">
        <f>'2012 ATMOS NG Billed Volumes'!$K51</f>
        <v>529.89</v>
      </c>
      <c r="CF31" s="226">
        <f>'2012 ATMOS NG Billed Volumes'!$L51</f>
        <v>355.83</v>
      </c>
      <c r="CG31" s="226">
        <f>'2012 ATMOS NG Billed Volumes'!$M51</f>
        <v>683.57</v>
      </c>
      <c r="CH31" s="226">
        <f>'2012 ATMOS NG Billed Volumes'!$N51</f>
        <v>715.11</v>
      </c>
    </row>
    <row r="32" spans="2:88">
      <c r="B32" t="s">
        <v>979</v>
      </c>
      <c r="C32" s="226">
        <f>'2006 ATMOS NG Billed Volumes'!$C87</f>
        <v>12301</v>
      </c>
      <c r="D32" s="226">
        <f>'2006 ATMOS NG Billed Volumes'!$D87</f>
        <v>1605</v>
      </c>
      <c r="E32" s="226">
        <f>'2006 ATMOS NG Billed Volumes'!$E87</f>
        <v>7824</v>
      </c>
      <c r="F32" s="226">
        <f>'2006 ATMOS NG Billed Volumes'!$F87</f>
        <v>6825</v>
      </c>
      <c r="G32" s="226">
        <f>'2006 ATMOS NG Billed Volumes'!$G87</f>
        <v>12243</v>
      </c>
      <c r="H32" s="226">
        <f>'2006 ATMOS NG Billed Volumes'!$H87</f>
        <v>34436</v>
      </c>
      <c r="I32" s="226">
        <f>'2006 ATMOS NG Billed Volumes'!$I87</f>
        <v>36662</v>
      </c>
      <c r="J32" s="226">
        <f>'2006 ATMOS NG Billed Volumes'!$J87</f>
        <v>35575</v>
      </c>
      <c r="K32" s="226">
        <f>'2006 ATMOS NG Billed Volumes'!$K87</f>
        <v>37014</v>
      </c>
      <c r="L32" s="226">
        <f>'2006 ATMOS NG Billed Volumes'!$L87</f>
        <v>41645</v>
      </c>
      <c r="M32" s="226">
        <f>'2006 ATMOS NG Billed Volumes'!$M87</f>
        <v>23024</v>
      </c>
      <c r="N32" s="226">
        <f>'2006 ATMOS NG Billed Volumes'!$N87</f>
        <v>29306</v>
      </c>
      <c r="O32" s="226">
        <f>'2007 ATMOS NG Billed Volumes'!$C87</f>
        <v>7377</v>
      </c>
      <c r="P32" s="226">
        <f>'2007 ATMOS NG Billed Volumes'!$D87</f>
        <v>22101</v>
      </c>
      <c r="Q32" s="226">
        <f>'2007 ATMOS NG Billed Volumes'!$E87</f>
        <v>12791</v>
      </c>
      <c r="R32" s="226">
        <f>'2007 ATMOS NG Billed Volumes'!$F87</f>
        <v>1067</v>
      </c>
      <c r="S32" s="226">
        <f>'2007 ATMOS NG Billed Volumes'!$G87</f>
        <v>2883</v>
      </c>
      <c r="T32" s="226">
        <f>'2007 ATMOS NG Billed Volumes'!$H87</f>
        <v>24100</v>
      </c>
      <c r="U32" s="226">
        <f>'2007 ATMOS NG Billed Volumes'!$I87</f>
        <v>38621</v>
      </c>
      <c r="V32" s="226">
        <f>'2007 ATMOS NG Billed Volumes'!$J87</f>
        <v>39161</v>
      </c>
      <c r="W32" s="226">
        <f>'2007 ATMOS NG Billed Volumes'!$K87</f>
        <v>35469</v>
      </c>
      <c r="X32" s="226">
        <f>'2007 ATMOS NG Billed Volumes'!$L87</f>
        <v>42054</v>
      </c>
      <c r="Y32" s="226">
        <f>'2007 ATMOS NG Billed Volumes'!$M87</f>
        <v>21486</v>
      </c>
      <c r="Z32" s="226">
        <f>'2007 ATMOS NG Billed Volumes'!$N87</f>
        <v>24596</v>
      </c>
      <c r="AA32" s="226">
        <f>'2008 ATMOS NG Billed Volumes'!$C87</f>
        <v>15469.395</v>
      </c>
      <c r="AB32" s="226">
        <f>'2008 ATMOS NG Billed Volumes'!$D87</f>
        <v>4394</v>
      </c>
      <c r="AC32" s="226">
        <f>'2008 ATMOS NG Billed Volumes'!$E87</f>
        <v>1719</v>
      </c>
      <c r="AD32" s="226">
        <f>'2008 ATMOS NG Billed Volumes'!$F87</f>
        <v>17781</v>
      </c>
      <c r="AE32" s="226">
        <f>'2008 ATMOS NG Billed Volumes'!$G87</f>
        <v>17811</v>
      </c>
      <c r="AF32" s="226">
        <f>'2008 ATMOS NG Billed Volumes'!$H87</f>
        <v>4058</v>
      </c>
      <c r="AG32" s="226">
        <f>'2008 ATMOS NG Billed Volumes'!$I87</f>
        <v>269</v>
      </c>
      <c r="AH32" s="226">
        <f>'2008 ATMOS NG Billed Volumes'!$J87</f>
        <v>450</v>
      </c>
      <c r="AI32" s="226">
        <f>'2008 ATMOS NG Billed Volumes'!$K87</f>
        <v>17049</v>
      </c>
      <c r="AJ32" s="226">
        <f>'2008 ATMOS NG Billed Volumes'!$L87</f>
        <v>5349</v>
      </c>
      <c r="AK32" s="226">
        <f>'2008 ATMOS NG Billed Volumes'!$M87</f>
        <v>18573</v>
      </c>
      <c r="AL32" s="226">
        <f>'2008 ATMOS NG Billed Volumes'!$N87</f>
        <v>44771</v>
      </c>
      <c r="AM32" s="226">
        <f>'2009 ATMOS NG Billed Volumes'!$C87</f>
        <v>5957</v>
      </c>
      <c r="AN32" s="226">
        <f>'2009 ATMOS NG Billed Volumes'!$D87</f>
        <v>2430</v>
      </c>
      <c r="AO32" s="226">
        <f>'2009 ATMOS NG Billed Volumes'!$E87</f>
        <v>753</v>
      </c>
      <c r="AP32" s="226">
        <f>'2009 ATMOS NG Billed Volumes'!$F87</f>
        <v>9891</v>
      </c>
      <c r="AQ32" s="226">
        <f>'2009 ATMOS NG Billed Volumes'!$G87</f>
        <v>25111</v>
      </c>
      <c r="AR32" s="226">
        <f>'2009 ATMOS NG Billed Volumes'!$H87</f>
        <v>13002</v>
      </c>
      <c r="AS32" s="226">
        <f>'2009 ATMOS NG Billed Volumes'!$I87</f>
        <v>1</v>
      </c>
      <c r="AT32" s="226">
        <f>'2009 ATMOS NG Billed Volumes'!$J87</f>
        <v>21</v>
      </c>
      <c r="AU32" s="226" t="str">
        <f>'2009 ATMOS NG Billed Volumes'!$K87</f>
        <v>0</v>
      </c>
      <c r="AV32" s="226">
        <f>'2009 ATMOS NG Billed Volumes'!$L87</f>
        <v>23231</v>
      </c>
      <c r="AW32" s="226">
        <f>'2009 ATMOS NG Billed Volumes'!$M87</f>
        <v>10840</v>
      </c>
      <c r="AX32" s="226">
        <f>'2009 ATMOS NG Billed Volumes'!$N87</f>
        <v>2460</v>
      </c>
      <c r="AY32" s="226">
        <f>'2010 ATMOS NG Billed Volumes'!$C87</f>
        <v>16388</v>
      </c>
      <c r="AZ32" s="226">
        <f>'2010 ATMOS NG Billed Volumes'!$D87</f>
        <v>17949</v>
      </c>
      <c r="BA32" s="226">
        <f>'2010 ATMOS NG Billed Volumes'!$E87</f>
        <v>19235</v>
      </c>
      <c r="BB32" s="226">
        <f>'2010 ATMOS NG Billed Volumes'!$F87</f>
        <v>19108</v>
      </c>
      <c r="BC32" s="226">
        <f>'2010 ATMOS NG Billed Volumes'!$G87</f>
        <v>16658</v>
      </c>
      <c r="BD32" s="226">
        <f>'2010 ATMOS NG Billed Volumes'!$H87</f>
        <v>16347</v>
      </c>
      <c r="BE32" s="226">
        <f>'2010 ATMOS NG Billed Volumes'!$I87</f>
        <v>17066</v>
      </c>
      <c r="BF32" s="226">
        <f>'2010 ATMOS NG Billed Volumes'!$J87</f>
        <v>16787</v>
      </c>
      <c r="BG32" s="226">
        <f>'2010 ATMOS NG Billed Volumes'!$K87</f>
        <v>19147</v>
      </c>
      <c r="BH32" s="226">
        <f>'2010 ATMOS NG Billed Volumes'!$L87</f>
        <v>15061</v>
      </c>
      <c r="BI32" s="226">
        <f>'2010 ATMOS NG Billed Volumes'!$M87</f>
        <v>52034</v>
      </c>
      <c r="BJ32" s="226">
        <f>'2010 ATMOS NG Billed Volumes'!$N87</f>
        <v>27004</v>
      </c>
      <c r="BK32" s="226">
        <f>'2011 ATMOS NG Billed Volumes'!$C87</f>
        <v>17580</v>
      </c>
      <c r="BL32" s="226">
        <f>'2011 ATMOS NG Billed Volumes'!$D87</f>
        <v>25914</v>
      </c>
      <c r="BM32" s="226">
        <f>'2011 ATMOS NG Billed Volumes'!$E87</f>
        <v>24706</v>
      </c>
      <c r="BN32" s="226">
        <f>'2011 ATMOS NG Billed Volumes'!$F87</f>
        <v>20902</v>
      </c>
      <c r="BO32" s="226">
        <f>'2011 ATMOS NG Billed Volumes'!$G87</f>
        <v>16614</v>
      </c>
      <c r="BP32" s="226">
        <f>'2011 ATMOS NG Billed Volumes'!$H87</f>
        <v>16763</v>
      </c>
      <c r="BQ32" s="226">
        <f>'2011 ATMOS NG Billed Volumes'!$I87</f>
        <v>31358</v>
      </c>
      <c r="BR32" s="226">
        <f>'2011 ATMOS NG Billed Volumes'!$J87</f>
        <v>13056</v>
      </c>
      <c r="BS32" s="226">
        <f>'2011 ATMOS NG Billed Volumes'!$K87</f>
        <v>15435</v>
      </c>
      <c r="BT32" s="226">
        <f>'2011 ATMOS NG Billed Volumes'!$L87</f>
        <v>13202</v>
      </c>
      <c r="BU32" s="226">
        <f>'2011 ATMOS NG Billed Volumes'!$M87</f>
        <v>13033</v>
      </c>
      <c r="BV32" s="226">
        <f>'2011 ATMOS NG Billed Volumes'!$N87</f>
        <v>14900</v>
      </c>
      <c r="BW32" s="226">
        <f>'2012 ATMOS NG Billed Volumes'!$C87</f>
        <v>15492</v>
      </c>
      <c r="BX32" s="226">
        <f>'2012 ATMOS NG Billed Volumes'!$D87</f>
        <v>22866</v>
      </c>
      <c r="BY32" s="226">
        <f>'2012 ATMOS NG Billed Volumes'!$E87</f>
        <v>20625</v>
      </c>
      <c r="BZ32" s="226">
        <f>'2012 ATMOS NG Billed Volumes'!$F87</f>
        <v>23647</v>
      </c>
      <c r="CA32" s="226">
        <f>'2012 ATMOS NG Billed Volumes'!$G87</f>
        <v>34271</v>
      </c>
      <c r="CB32" s="226">
        <f>'2012 ATMOS NG Billed Volumes'!$H87</f>
        <v>61028</v>
      </c>
      <c r="CC32" s="226">
        <f>'2012 ATMOS NG Billed Volumes'!$I87</f>
        <v>56387</v>
      </c>
      <c r="CD32" s="226">
        <f>'2012 ATMOS NG Billed Volumes'!$J87</f>
        <v>38610</v>
      </c>
      <c r="CE32" s="226">
        <f>'2012 ATMOS NG Billed Volumes'!$K87</f>
        <v>59428</v>
      </c>
      <c r="CF32" s="226">
        <f>'2012 ATMOS NG Billed Volumes'!$L87</f>
        <v>73597</v>
      </c>
      <c r="CG32" s="226">
        <f>'2012 ATMOS NG Billed Volumes'!$M87</f>
        <v>87618</v>
      </c>
      <c r="CH32" s="226">
        <f>'2012 ATMOS NG Billed Volumes'!$N87</f>
        <v>57415</v>
      </c>
    </row>
    <row r="33" spans="2:86">
      <c r="B33" t="s">
        <v>983</v>
      </c>
      <c r="C33" s="226">
        <f>'2006 ATMOS NG Billed Volumes'!$C69</f>
        <v>3289.5</v>
      </c>
      <c r="D33" s="226">
        <f>'2006 ATMOS NG Billed Volumes'!$D69</f>
        <v>3990.4</v>
      </c>
      <c r="E33" s="226">
        <f>'2006 ATMOS NG Billed Volumes'!$E69</f>
        <v>3604.3</v>
      </c>
      <c r="F33" s="226">
        <f>'2006 ATMOS NG Billed Volumes'!$F69</f>
        <v>2186.3000000000002</v>
      </c>
      <c r="G33" s="226">
        <f>'2006 ATMOS NG Billed Volumes'!$G69</f>
        <v>2371.8000000000002</v>
      </c>
      <c r="H33" s="226">
        <f>'2006 ATMOS NG Billed Volumes'!$H69</f>
        <v>1614.9</v>
      </c>
      <c r="I33" s="226">
        <f>'2006 ATMOS NG Billed Volumes'!$I69</f>
        <v>1264.3</v>
      </c>
      <c r="J33" s="226">
        <f>'2006 ATMOS NG Billed Volumes'!$J69</f>
        <v>380.6</v>
      </c>
      <c r="K33" s="226">
        <f>'2006 ATMOS NG Billed Volumes'!$K69</f>
        <v>2617.8000000000002</v>
      </c>
      <c r="L33" s="226">
        <f>'2006 ATMOS NG Billed Volumes'!$L69</f>
        <v>2666.3</v>
      </c>
      <c r="M33" s="226">
        <f>'2006 ATMOS NG Billed Volumes'!$M69</f>
        <v>4213.3999999999996</v>
      </c>
      <c r="N33" s="226">
        <f>'2006 ATMOS NG Billed Volumes'!$N69</f>
        <v>4517.8999999999996</v>
      </c>
      <c r="O33" s="226">
        <f>'2007 ATMOS NG Billed Volumes'!$C69</f>
        <v>4289.3</v>
      </c>
      <c r="P33" s="226">
        <f>'2007 ATMOS NG Billed Volumes'!$D69</f>
        <v>5811.8</v>
      </c>
      <c r="Q33" s="226">
        <f>'2007 ATMOS NG Billed Volumes'!$E69</f>
        <v>3421</v>
      </c>
      <c r="R33" s="226">
        <f>'2007 ATMOS NG Billed Volumes'!$F69</f>
        <v>3012.4</v>
      </c>
      <c r="S33" s="226">
        <f>'2007 ATMOS NG Billed Volumes'!$G69</f>
        <v>2253.6120000000001</v>
      </c>
      <c r="T33" s="226">
        <f>'2007 ATMOS NG Billed Volumes'!$H69</f>
        <v>1534.1119999999999</v>
      </c>
      <c r="U33" s="226">
        <f>'2007 ATMOS NG Billed Volumes'!$I69</f>
        <v>1315.3229000000001</v>
      </c>
      <c r="V33" s="226">
        <f>'2007 ATMOS NG Billed Volumes'!$J69</f>
        <v>1096.2036000000001</v>
      </c>
      <c r="W33" s="226">
        <f>'2007 ATMOS NG Billed Volumes'!$K69</f>
        <v>1436.152</v>
      </c>
      <c r="X33" s="226">
        <f>'2007 ATMOS NG Billed Volumes'!$L69</f>
        <v>2212.6046000000001</v>
      </c>
      <c r="Y33" s="226">
        <f>'2007 ATMOS NG Billed Volumes'!$M69</f>
        <v>294.0634</v>
      </c>
      <c r="Z33" s="226">
        <f>'2007 ATMOS NG Billed Volumes'!$N69</f>
        <v>10442.449299999998</v>
      </c>
      <c r="AA33" s="226">
        <f>'2008 ATMOS NG Billed Volumes'!$C69</f>
        <v>6604.9782000000005</v>
      </c>
      <c r="AB33" s="226">
        <f>'2008 ATMOS NG Billed Volumes'!$D69</f>
        <v>4748.3981000000003</v>
      </c>
      <c r="AC33" s="226">
        <f>'2008 ATMOS NG Billed Volumes'!$E69</f>
        <v>4426.7819</v>
      </c>
      <c r="AD33" s="226">
        <f>'2008 ATMOS NG Billed Volumes'!$F69</f>
        <v>3799.4865999999997</v>
      </c>
      <c r="AE33" s="226">
        <f>'2008 ATMOS NG Billed Volumes'!$G69</f>
        <v>3161.4677000000001</v>
      </c>
      <c r="AF33" s="226">
        <f>'2008 ATMOS NG Billed Volumes'!$H69</f>
        <v>1857.4938999999999</v>
      </c>
      <c r="AG33" s="226">
        <f>'2008 ATMOS NG Billed Volumes'!$I69</f>
        <v>2091.1153999999997</v>
      </c>
      <c r="AH33" s="226">
        <f>'2008 ATMOS NG Billed Volumes'!$J69</f>
        <v>2225.8522000000003</v>
      </c>
      <c r="AI33" s="226">
        <f>'2008 ATMOS NG Billed Volumes'!$K69</f>
        <v>2731.4349999999999</v>
      </c>
      <c r="AJ33" s="226">
        <f>'2008 ATMOS NG Billed Volumes'!$L69</f>
        <v>4834.9594999999999</v>
      </c>
      <c r="AK33" s="226">
        <f>'2008 ATMOS NG Billed Volumes'!$M69</f>
        <v>5694.9708999999993</v>
      </c>
      <c r="AL33" s="226">
        <f>'2008 ATMOS NG Billed Volumes'!$N69</f>
        <v>7475.9706999999999</v>
      </c>
      <c r="AM33" s="226">
        <f>'2009 ATMOS NG Billed Volumes'!$C69</f>
        <v>6233.4023999999999</v>
      </c>
      <c r="AN33" s="226">
        <f>'2009 ATMOS NG Billed Volumes'!$D69</f>
        <v>6996.4821999999995</v>
      </c>
      <c r="AO33" s="226">
        <f>'2009 ATMOS NG Billed Volumes'!$E69</f>
        <v>3685.0237999999999</v>
      </c>
      <c r="AP33" s="226">
        <f>'2009 ATMOS NG Billed Volumes'!$F69</f>
        <v>4803.1341000000002</v>
      </c>
      <c r="AQ33" s="226">
        <f>'2009 ATMOS NG Billed Volumes'!$G69</f>
        <v>2319.7696999999998</v>
      </c>
      <c r="AR33" s="226">
        <f>'2009 ATMOS NG Billed Volumes'!$H69</f>
        <v>1853.4016999999999</v>
      </c>
      <c r="AS33" s="226">
        <f>'2009 ATMOS NG Billed Volumes'!$I69</f>
        <v>1533.963</v>
      </c>
      <c r="AT33" s="226">
        <f>'2009 ATMOS NG Billed Volumes'!$J69</f>
        <v>1567.1069</v>
      </c>
      <c r="AU33" s="226">
        <f>'2009 ATMOS NG Billed Volumes'!$K69</f>
        <v>1904.962</v>
      </c>
      <c r="AV33" s="226">
        <f>'2009 ATMOS NG Billed Volumes'!$L69</f>
        <v>3156.8521000000005</v>
      </c>
      <c r="AW33" s="226">
        <f>'2009 ATMOS NG Billed Volumes'!$M69</f>
        <v>3772.4558999999999</v>
      </c>
      <c r="AX33" s="226">
        <f>'2009 ATMOS NG Billed Volumes'!$N69</f>
        <v>7509.6042999999991</v>
      </c>
      <c r="AY33" s="226">
        <f>'2010 ATMOS NG Billed Volumes'!$C69</f>
        <v>7883.4080999999996</v>
      </c>
      <c r="AZ33" s="226">
        <f>'2010 ATMOS NG Billed Volumes'!$D69</f>
        <v>6642.3888999999999</v>
      </c>
      <c r="BA33" s="226">
        <f>'2010 ATMOS NG Billed Volumes'!$E69</f>
        <v>5304.1602000000003</v>
      </c>
      <c r="BB33" s="226">
        <f>'2010 ATMOS NG Billed Volumes'!$F69</f>
        <v>3616.68</v>
      </c>
      <c r="BC33" s="226">
        <f>'2010 ATMOS NG Billed Volumes'!$G69</f>
        <v>2730.9</v>
      </c>
      <c r="BD33" s="226">
        <f>'2010 ATMOS NG Billed Volumes'!$H69</f>
        <v>1608.45</v>
      </c>
      <c r="BE33" s="226">
        <f>'2010 ATMOS NG Billed Volumes'!$I69</f>
        <v>1548.7</v>
      </c>
      <c r="BF33" s="226">
        <f>'2010 ATMOS NG Billed Volumes'!$J69</f>
        <v>1623.04</v>
      </c>
      <c r="BG33" s="226">
        <f>'2010 ATMOS NG Billed Volumes'!$K69</f>
        <v>1705.34</v>
      </c>
      <c r="BH33" s="226">
        <f>'2010 ATMOS NG Billed Volumes'!$L69</f>
        <v>2186.0500000000002</v>
      </c>
      <c r="BI33" s="226">
        <f>'2010 ATMOS NG Billed Volumes'!$M69</f>
        <v>3823.19</v>
      </c>
      <c r="BJ33" s="226">
        <f>'2010 ATMOS NG Billed Volumes'!$N69</f>
        <v>8326.2000000000007</v>
      </c>
      <c r="BK33" s="226">
        <f>'2011 ATMOS NG Billed Volumes'!$C69</f>
        <v>8420.42</v>
      </c>
      <c r="BL33" s="226">
        <f>'2011 ATMOS NG Billed Volumes'!$D69</f>
        <v>6693.72</v>
      </c>
      <c r="BM33" s="226">
        <f>'2011 ATMOS NG Billed Volumes'!$E69</f>
        <v>5532.03</v>
      </c>
      <c r="BN33" s="226">
        <f>'2011 ATMOS NG Billed Volumes'!$F69</f>
        <v>4296.18</v>
      </c>
      <c r="BO33" s="226">
        <f>'2011 ATMOS NG Billed Volumes'!$G69</f>
        <v>2521.75</v>
      </c>
      <c r="BP33" s="226">
        <f>'2011 ATMOS NG Billed Volumes'!$H69</f>
        <v>1462.84</v>
      </c>
      <c r="BQ33" s="226">
        <f>'2011 ATMOS NG Billed Volumes'!$I69</f>
        <v>1577.26</v>
      </c>
      <c r="BR33" s="226">
        <f>'2011 ATMOS NG Billed Volumes'!$J69</f>
        <v>1413.58</v>
      </c>
      <c r="BS33" s="226">
        <f>'2011 ATMOS NG Billed Volumes'!$K69</f>
        <v>2466.4299999999998</v>
      </c>
      <c r="BT33" s="226">
        <f>'2011 ATMOS NG Billed Volumes'!$L69</f>
        <v>3348.96</v>
      </c>
      <c r="BU33" s="226">
        <f>'2011 ATMOS NG Billed Volumes'!$M69</f>
        <v>5137.01</v>
      </c>
      <c r="BV33" s="226">
        <f>'2011 ATMOS NG Billed Volumes'!$N69</f>
        <v>6443.7</v>
      </c>
      <c r="BW33" s="226">
        <f>'2012 ATMOS NG Billed Volumes'!$C69</f>
        <v>7791.9</v>
      </c>
      <c r="BX33" s="226">
        <f>'2012 ATMOS NG Billed Volumes'!$D69</f>
        <v>6797.37</v>
      </c>
      <c r="BY33" s="226">
        <f>'2012 ATMOS NG Billed Volumes'!$E69</f>
        <v>4845.57</v>
      </c>
      <c r="BZ33" s="226">
        <f>'2012 ATMOS NG Billed Volumes'!$F69</f>
        <v>3204.04</v>
      </c>
      <c r="CA33" s="226">
        <f>'2012 ATMOS NG Billed Volumes'!$G69</f>
        <v>2520.41</v>
      </c>
      <c r="CB33" s="226">
        <f>'2012 ATMOS NG Billed Volumes'!$H69</f>
        <v>1663.98</v>
      </c>
      <c r="CC33" s="226">
        <f>'2012 ATMOS NG Billed Volumes'!$I69</f>
        <v>869.73</v>
      </c>
      <c r="CD33" s="226">
        <f>'2012 ATMOS NG Billed Volumes'!$J69</f>
        <v>1108.23</v>
      </c>
      <c r="CE33" s="226">
        <f>'2012 ATMOS NG Billed Volumes'!$K69</f>
        <v>2267.83</v>
      </c>
      <c r="CF33" s="226">
        <f>'2012 ATMOS NG Billed Volumes'!$L69</f>
        <v>2518.2800000000002</v>
      </c>
      <c r="CG33" s="226">
        <f>'2012 ATMOS NG Billed Volumes'!$M69</f>
        <v>3480.51</v>
      </c>
      <c r="CH33" s="226">
        <f>'2012 ATMOS NG Billed Volumes'!$N69</f>
        <v>4070.55</v>
      </c>
    </row>
    <row r="34" spans="2:86">
      <c r="B34" t="s">
        <v>50</v>
      </c>
      <c r="C34" s="226">
        <f>SUM(C29:C33)</f>
        <v>124865.9544</v>
      </c>
      <c r="D34" s="226">
        <f t="shared" ref="D34:BO34" si="11">SUM(D29:D33)</f>
        <v>115678.7181</v>
      </c>
      <c r="E34" s="226">
        <f t="shared" si="11"/>
        <v>114384.9152</v>
      </c>
      <c r="F34" s="226">
        <f t="shared" si="11"/>
        <v>76052.891500000012</v>
      </c>
      <c r="G34" s="226">
        <f t="shared" si="11"/>
        <v>66466.469400000002</v>
      </c>
      <c r="H34" s="226">
        <f t="shared" si="11"/>
        <v>79859.931099999987</v>
      </c>
      <c r="I34" s="226">
        <f t="shared" si="11"/>
        <v>66251.626000000004</v>
      </c>
      <c r="J34" s="226">
        <f t="shared" si="11"/>
        <v>79677.077799999999</v>
      </c>
      <c r="K34" s="226">
        <f t="shared" si="11"/>
        <v>81162.370800000004</v>
      </c>
      <c r="L34" s="226">
        <f t="shared" si="11"/>
        <v>93165.311200000011</v>
      </c>
      <c r="M34" s="226">
        <f t="shared" si="11"/>
        <v>112681.74219999998</v>
      </c>
      <c r="N34" s="226">
        <f t="shared" si="11"/>
        <v>126589.42660000001</v>
      </c>
      <c r="O34" s="226">
        <f t="shared" si="11"/>
        <v>115397.75110000001</v>
      </c>
      <c r="P34" s="226">
        <f t="shared" si="11"/>
        <v>171109.60249999998</v>
      </c>
      <c r="Q34" s="226">
        <f t="shared" si="11"/>
        <v>118569.8486</v>
      </c>
      <c r="R34" s="226">
        <f t="shared" si="11"/>
        <v>82166.4323</v>
      </c>
      <c r="S34" s="226">
        <f t="shared" si="11"/>
        <v>64885.019800000002</v>
      </c>
      <c r="T34" s="226">
        <f t="shared" si="11"/>
        <v>68090.066699999996</v>
      </c>
      <c r="U34" s="226">
        <f t="shared" si="11"/>
        <v>76617.0533</v>
      </c>
      <c r="V34" s="226">
        <f t="shared" si="11"/>
        <v>77881.801699999996</v>
      </c>
      <c r="W34" s="226">
        <f t="shared" si="11"/>
        <v>86851.725200000001</v>
      </c>
      <c r="X34" s="226">
        <f t="shared" si="11"/>
        <v>88062.752600000007</v>
      </c>
      <c r="Y34" s="226">
        <f t="shared" si="11"/>
        <v>88803.631000000008</v>
      </c>
      <c r="Z34" s="226">
        <f t="shared" si="11"/>
        <v>139629.40299999999</v>
      </c>
      <c r="AA34" s="226">
        <f t="shared" si="11"/>
        <v>142970.4086</v>
      </c>
      <c r="AB34" s="226">
        <f t="shared" si="11"/>
        <v>124208.82900000001</v>
      </c>
      <c r="AC34" s="226">
        <f t="shared" si="11"/>
        <v>105484.4276</v>
      </c>
      <c r="AD34" s="226">
        <f t="shared" si="11"/>
        <v>101680.7577</v>
      </c>
      <c r="AE34" s="226">
        <f t="shared" si="11"/>
        <v>73546.999499999991</v>
      </c>
      <c r="AF34" s="226">
        <f t="shared" si="11"/>
        <v>46524.034</v>
      </c>
      <c r="AG34" s="226">
        <f t="shared" si="11"/>
        <v>43651.1659</v>
      </c>
      <c r="AH34" s="226">
        <f t="shared" si="11"/>
        <v>42612.346600000004</v>
      </c>
      <c r="AI34" s="226">
        <f t="shared" si="11"/>
        <v>61736.720300000001</v>
      </c>
      <c r="AJ34" s="226">
        <f t="shared" si="11"/>
        <v>61973.703499999996</v>
      </c>
      <c r="AK34" s="226">
        <f t="shared" si="11"/>
        <v>102576.0154</v>
      </c>
      <c r="AL34" s="226">
        <f t="shared" si="11"/>
        <v>170550.5545</v>
      </c>
      <c r="AM34" s="226">
        <f t="shared" si="11"/>
        <v>124918.26730000001</v>
      </c>
      <c r="AN34" s="226">
        <f t="shared" si="11"/>
        <v>125958.58409999999</v>
      </c>
      <c r="AO34" s="226">
        <f t="shared" si="11"/>
        <v>102812.2065</v>
      </c>
      <c r="AP34" s="226">
        <f t="shared" si="11"/>
        <v>87552.902899999986</v>
      </c>
      <c r="AQ34" s="226">
        <f t="shared" si="11"/>
        <v>70659.67790000001</v>
      </c>
      <c r="AR34" s="226">
        <f t="shared" si="11"/>
        <v>50584.706100000003</v>
      </c>
      <c r="AS34" s="226">
        <f t="shared" si="11"/>
        <v>37756.358900000007</v>
      </c>
      <c r="AT34" s="226">
        <f t="shared" si="11"/>
        <v>38593.101699999999</v>
      </c>
      <c r="AU34" s="226">
        <f t="shared" si="11"/>
        <v>43731.712799999994</v>
      </c>
      <c r="AV34" s="226">
        <f t="shared" si="11"/>
        <v>76901.826700000005</v>
      </c>
      <c r="AW34" s="226">
        <f t="shared" si="11"/>
        <v>88359.292699999991</v>
      </c>
      <c r="AX34" s="226">
        <f t="shared" si="11"/>
        <v>119419.46900000001</v>
      </c>
      <c r="AY34" s="226">
        <f t="shared" si="11"/>
        <v>166423.80570000003</v>
      </c>
      <c r="AZ34" s="226">
        <f t="shared" si="11"/>
        <v>148021.9137</v>
      </c>
      <c r="BA34" s="226">
        <f t="shared" si="11"/>
        <v>122444.4589</v>
      </c>
      <c r="BB34" s="226">
        <f t="shared" si="11"/>
        <v>73489.7</v>
      </c>
      <c r="BC34" s="226">
        <f t="shared" si="11"/>
        <v>50313.01</v>
      </c>
      <c r="BD34" s="226">
        <f t="shared" si="11"/>
        <v>42766.5</v>
      </c>
      <c r="BE34" s="226">
        <f t="shared" si="11"/>
        <v>40742.629999999997</v>
      </c>
      <c r="BF34" s="226">
        <f t="shared" si="11"/>
        <v>42543.05</v>
      </c>
      <c r="BG34" s="226">
        <f t="shared" si="11"/>
        <v>45302.85</v>
      </c>
      <c r="BH34" s="226">
        <f t="shared" si="11"/>
        <v>49173.460000000006</v>
      </c>
      <c r="BI34" s="226">
        <f t="shared" si="11"/>
        <v>108722.27</v>
      </c>
      <c r="BJ34" s="226">
        <f t="shared" si="11"/>
        <v>152379.69</v>
      </c>
      <c r="BK34" s="226">
        <f t="shared" si="11"/>
        <v>151911.57000000004</v>
      </c>
      <c r="BL34" s="226">
        <f t="shared" si="11"/>
        <v>143258.18000000002</v>
      </c>
      <c r="BM34" s="226">
        <f t="shared" si="11"/>
        <v>108500.65</v>
      </c>
      <c r="BN34" s="226">
        <f t="shared" si="11"/>
        <v>92178.62</v>
      </c>
      <c r="BO34" s="226">
        <f t="shared" si="11"/>
        <v>58868.270000000004</v>
      </c>
      <c r="BP34" s="226">
        <f t="shared" ref="BP34:CH34" si="12">SUM(BP29:BP33)</f>
        <v>45797.06</v>
      </c>
      <c r="BQ34" s="226">
        <f t="shared" si="12"/>
        <v>55572.890000000007</v>
      </c>
      <c r="BR34" s="226">
        <f t="shared" si="12"/>
        <v>38238.620000000003</v>
      </c>
      <c r="BS34" s="226">
        <f t="shared" si="12"/>
        <v>44339.02</v>
      </c>
      <c r="BT34" s="226">
        <f t="shared" si="12"/>
        <v>48525.24</v>
      </c>
      <c r="BU34" s="226">
        <f t="shared" si="12"/>
        <v>74690.309999999983</v>
      </c>
      <c r="BV34" s="226">
        <f t="shared" si="12"/>
        <v>95091.299999999988</v>
      </c>
      <c r="BW34" s="226">
        <f t="shared" si="12"/>
        <v>126322.75</v>
      </c>
      <c r="BX34" s="226">
        <f t="shared" si="12"/>
        <v>116232.12999999999</v>
      </c>
      <c r="BY34" s="226">
        <f t="shared" si="12"/>
        <v>94035.07</v>
      </c>
      <c r="BZ34" s="226">
        <f t="shared" si="12"/>
        <v>69558.87999999999</v>
      </c>
      <c r="CA34" s="226">
        <f t="shared" si="12"/>
        <v>72090.47</v>
      </c>
      <c r="CB34" s="226">
        <f t="shared" si="12"/>
        <v>81425.239999999991</v>
      </c>
      <c r="CC34" s="226">
        <f t="shared" si="12"/>
        <v>75673.39</v>
      </c>
      <c r="CD34" s="226">
        <f t="shared" si="12"/>
        <v>55684.37</v>
      </c>
      <c r="CE34" s="226">
        <f t="shared" si="12"/>
        <v>81154.2</v>
      </c>
      <c r="CF34" s="226">
        <f t="shared" si="12"/>
        <v>106644.95999999999</v>
      </c>
      <c r="CG34" s="226">
        <f t="shared" si="12"/>
        <v>154760.30000000002</v>
      </c>
      <c r="CH34" s="226">
        <f t="shared" si="12"/>
        <v>137505.54999999999</v>
      </c>
    </row>
    <row r="35" spans="2:86">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c r="BT35" s="226"/>
      <c r="BU35" s="226"/>
      <c r="BV35" s="226"/>
      <c r="BW35" s="226"/>
      <c r="BX35" s="226"/>
      <c r="BY35" s="226"/>
      <c r="BZ35" s="226"/>
      <c r="CA35" s="226"/>
      <c r="CB35" s="226"/>
      <c r="CC35" s="226"/>
      <c r="CD35" s="226"/>
      <c r="CE35" s="226"/>
      <c r="CF35" s="226"/>
      <c r="CG35" s="226"/>
      <c r="CH35" s="226"/>
    </row>
  </sheetData>
  <mergeCells count="1">
    <mergeCell ref="B22:I22"/>
  </mergeCells>
  <hyperlinks>
    <hyperlink ref="B3" location="'Virginia Tech Energy Data'!A1" tooltip="Virginia Tech Energy Data" display="VT Buildings"/>
    <hyperlink ref="B6" location="'Virginia Tech Energy Data'!A1" tooltip="Virginia Tech Energy Data" display="VT Steam Plant"/>
    <hyperlink ref="C2" location="'2006 ATMOS NG Billed Volumes'!A1" tooltip="2006 ATMOS NG Billed Volumes" display="'2006 ATMOS NG Billed Volumes'!A1"/>
    <hyperlink ref="D2" location="'2007 ATMOS NG Billed Volumes'!A1" tooltip="2007 ATMOS NG Billed Volumes" display="'2007 ATMOS NG Billed Volumes'!A1"/>
    <hyperlink ref="E2" location="'2008 ATMOS NG Billed Volumes'!A1" tooltip="2008 ATMOS NG Billed Volumes" display="'2008 ATMOS NG Billed Volumes'!A1"/>
    <hyperlink ref="F2" location="'2009 ATMOS NG Billed Volumes'!A1" tooltip="2009 ATMOS NG Billed Volumes" display="'2009 ATMOS NG Billed Volumes'!A1"/>
    <hyperlink ref="G2" location="'2010 ATMOS NG Billed Volumes'!A1" tooltip="2010 ATMOS NG Billed Volumes" display="'2010 ATMOS NG Billed Volumes'!A1"/>
    <hyperlink ref="H2" location="'2011 ATMOS NG Billed Volumes'!A1" tooltip="2011 ATMOS NG Billed Volumes" display="'2011 ATMOS NG Billed Volumes'!A1"/>
    <hyperlink ref="I2" location="'2012 ATMOS NG Billed Volumes'!A1" tooltip="2012 ATMOS NG Billed Volumes" display="'2012 ATMOS NG Billed Volumes'!A1"/>
    <hyperlink ref="B11" location="'EIA Natural Gas by Sector'!A1" tooltip="EIA Natural Gas by Sector" display="Nationwide Res/(Res+Com)"/>
  </hyperlinks>
  <pageMargins left="0.7" right="0.7" top="0.75" bottom="0.75" header="0.3" footer="0.3"/>
  <pageSetup orientation="portrait" horizontalDpi="4294967293" verticalDpi="0" r:id="rId1"/>
  <drawing r:id="rId2"/>
</worksheet>
</file>

<file path=xl/worksheets/sheet15.xml><?xml version="1.0" encoding="utf-8"?>
<worksheet xmlns="http://schemas.openxmlformats.org/spreadsheetml/2006/main" xmlns:r="http://schemas.openxmlformats.org/officeDocument/2006/relationships">
  <dimension ref="A1:P137"/>
  <sheetViews>
    <sheetView topLeftCell="B7" zoomScale="80" zoomScaleNormal="80" workbookViewId="0">
      <selection activeCell="C15" sqref="C15:N15"/>
    </sheetView>
  </sheetViews>
  <sheetFormatPr defaultRowHeight="15"/>
  <cols>
    <col min="1" max="1" width="39.5703125" customWidth="1"/>
    <col min="2" max="2" width="35.5703125" bestFit="1" customWidth="1"/>
    <col min="3" max="8" width="14.140625" bestFit="1" customWidth="1"/>
    <col min="9" max="10" width="10.28515625" bestFit="1" customWidth="1"/>
    <col min="11" max="11" width="10.85546875" bestFit="1" customWidth="1"/>
    <col min="12" max="12" width="10.28515625" bestFit="1" customWidth="1"/>
    <col min="13" max="13" width="10.42578125" bestFit="1" customWidth="1"/>
    <col min="14" max="14" width="10.28515625" bestFit="1" customWidth="1"/>
    <col min="15" max="15" width="10.5703125" style="1" bestFit="1" customWidth="1"/>
  </cols>
  <sheetData>
    <row r="1" spans="1:16" s="697" customFormat="1">
      <c r="A1" s="74" t="s">
        <v>2251</v>
      </c>
      <c r="O1" s="700"/>
    </row>
    <row r="2" spans="1:16" s="697" customFormat="1">
      <c r="A2" s="707"/>
      <c r="O2" s="700"/>
    </row>
    <row r="3" spans="1:16">
      <c r="A3" s="3" t="s">
        <v>3</v>
      </c>
      <c r="B3" s="12"/>
      <c r="C3" s="12"/>
      <c r="D3" s="12"/>
      <c r="E3" s="12"/>
      <c r="F3" s="12"/>
      <c r="G3" s="12"/>
      <c r="H3" s="12"/>
      <c r="I3" s="12"/>
    </row>
    <row r="4" spans="1:16">
      <c r="A4" s="4" t="s">
        <v>4</v>
      </c>
    </row>
    <row r="5" spans="1:16">
      <c r="A5" s="4" t="s">
        <v>5</v>
      </c>
    </row>
    <row r="6" spans="1:16">
      <c r="A6" s="4" t="s">
        <v>6</v>
      </c>
    </row>
    <row r="7" spans="1:16">
      <c r="A7" s="4" t="s">
        <v>7</v>
      </c>
    </row>
    <row r="8" spans="1:16">
      <c r="A8" s="4" t="s">
        <v>8</v>
      </c>
    </row>
    <row r="9" spans="1:16">
      <c r="A9" s="4" t="s">
        <v>9</v>
      </c>
    </row>
    <row r="10" spans="1:16" ht="15.75">
      <c r="C10" s="1140" t="s">
        <v>10</v>
      </c>
      <c r="D10" s="1141"/>
      <c r="E10" s="1141"/>
      <c r="F10" s="1141"/>
      <c r="G10" s="1141"/>
      <c r="H10" s="1141"/>
      <c r="I10" s="1141"/>
      <c r="J10" s="1141"/>
      <c r="K10" s="1141"/>
      <c r="L10" s="1141"/>
      <c r="M10" s="1141"/>
      <c r="N10" s="1141"/>
    </row>
    <row r="11" spans="1:16">
      <c r="C11" s="4" t="s">
        <v>11</v>
      </c>
      <c r="D11" s="4" t="s">
        <v>12</v>
      </c>
      <c r="E11" s="4" t="s">
        <v>13</v>
      </c>
      <c r="F11" s="4" t="s">
        <v>14</v>
      </c>
      <c r="G11" s="4" t="s">
        <v>15</v>
      </c>
      <c r="H11" s="4" t="s">
        <v>16</v>
      </c>
      <c r="I11" s="4" t="s">
        <v>17</v>
      </c>
      <c r="J11" s="4" t="s">
        <v>18</v>
      </c>
      <c r="K11" s="4" t="s">
        <v>19</v>
      </c>
      <c r="L11" s="4" t="s">
        <v>20</v>
      </c>
      <c r="M11" s="4" t="s">
        <v>21</v>
      </c>
      <c r="N11" s="4" t="s">
        <v>22</v>
      </c>
      <c r="O11" s="10" t="s">
        <v>50</v>
      </c>
      <c r="P11" s="1"/>
    </row>
    <row r="12" spans="1:16">
      <c r="C12" s="5" t="s">
        <v>23</v>
      </c>
      <c r="D12" s="5" t="s">
        <v>23</v>
      </c>
      <c r="E12" s="5" t="s">
        <v>23</v>
      </c>
      <c r="F12" s="5" t="s">
        <v>23</v>
      </c>
      <c r="G12" s="5" t="s">
        <v>23</v>
      </c>
      <c r="H12" s="5" t="s">
        <v>23</v>
      </c>
      <c r="I12" s="5" t="s">
        <v>23</v>
      </c>
      <c r="J12" s="5" t="s">
        <v>23</v>
      </c>
      <c r="K12" s="5" t="s">
        <v>23</v>
      </c>
      <c r="L12" s="5" t="s">
        <v>24</v>
      </c>
      <c r="M12" s="5" t="s">
        <v>24</v>
      </c>
      <c r="N12" s="5" t="s">
        <v>24</v>
      </c>
    </row>
    <row r="13" spans="1:16">
      <c r="A13" s="6" t="s">
        <v>25</v>
      </c>
      <c r="B13" s="6" t="s">
        <v>26</v>
      </c>
      <c r="C13" s="7">
        <v>16887.7</v>
      </c>
      <c r="D13" s="7">
        <v>15992.6</v>
      </c>
      <c r="E13" s="7">
        <v>13344.2</v>
      </c>
      <c r="F13" s="7">
        <v>5324.8</v>
      </c>
      <c r="G13" s="7">
        <v>4254.8999999999996</v>
      </c>
      <c r="H13" s="7">
        <v>2127.4</v>
      </c>
      <c r="I13" s="7">
        <v>1898.3</v>
      </c>
      <c r="J13" s="7">
        <v>1662.2</v>
      </c>
      <c r="K13" s="7">
        <v>1800.8</v>
      </c>
      <c r="L13" s="7">
        <v>3039.2</v>
      </c>
      <c r="M13" s="7">
        <v>8049.4</v>
      </c>
      <c r="N13" s="7">
        <v>13374.5</v>
      </c>
      <c r="O13" s="53">
        <f>SUM(C13:N13)</f>
        <v>87756</v>
      </c>
    </row>
    <row r="14" spans="1:16">
      <c r="A14" s="7"/>
      <c r="B14" s="6" t="s">
        <v>27</v>
      </c>
      <c r="C14" s="7">
        <v>329.2</v>
      </c>
      <c r="D14" s="7">
        <v>298</v>
      </c>
      <c r="E14" s="7">
        <v>180</v>
      </c>
      <c r="F14" s="7">
        <v>113.1</v>
      </c>
      <c r="G14" s="7">
        <v>35.6</v>
      </c>
      <c r="H14" s="7">
        <v>18.7</v>
      </c>
      <c r="I14" s="7">
        <v>16.600000000000001</v>
      </c>
      <c r="J14" s="7">
        <v>22.1</v>
      </c>
      <c r="K14" s="7">
        <v>31.6</v>
      </c>
      <c r="L14" s="7">
        <v>108.2</v>
      </c>
      <c r="M14" s="7">
        <v>327.7</v>
      </c>
      <c r="N14" s="7">
        <v>362</v>
      </c>
      <c r="O14" s="53">
        <f t="shared" ref="O14:O77" si="0">SUM(C14:N14)</f>
        <v>1842.8000000000002</v>
      </c>
    </row>
    <row r="15" spans="1:16" s="1" customFormat="1">
      <c r="A15" s="8"/>
      <c r="B15" s="19" t="s">
        <v>28</v>
      </c>
      <c r="C15" s="20">
        <v>39383.660000000003</v>
      </c>
      <c r="D15" s="20">
        <v>34724.49</v>
      </c>
      <c r="E15" s="20">
        <v>24517.83</v>
      </c>
      <c r="F15" s="20">
        <v>12237.32</v>
      </c>
      <c r="G15" s="20">
        <v>8814.1</v>
      </c>
      <c r="H15" s="20">
        <v>5018.25</v>
      </c>
      <c r="I15" s="20">
        <v>4287.33</v>
      </c>
      <c r="J15" s="20">
        <v>4000.53</v>
      </c>
      <c r="K15" s="20">
        <v>4844.91</v>
      </c>
      <c r="L15" s="20">
        <v>9660.8799999999992</v>
      </c>
      <c r="M15" s="20">
        <v>25206.49</v>
      </c>
      <c r="N15" s="20">
        <v>30089.58</v>
      </c>
      <c r="O15" s="54">
        <f t="shared" si="0"/>
        <v>202785.37</v>
      </c>
    </row>
    <row r="16" spans="1:16">
      <c r="A16" s="7"/>
      <c r="B16" s="6" t="s">
        <v>29</v>
      </c>
      <c r="C16" s="7">
        <v>33764.300000000003</v>
      </c>
      <c r="D16" s="7">
        <v>30522.1</v>
      </c>
      <c r="E16" s="7">
        <v>20730.5</v>
      </c>
      <c r="F16" s="7">
        <v>8759.5</v>
      </c>
      <c r="G16" s="7">
        <v>5536.6</v>
      </c>
      <c r="H16" s="7">
        <v>3320.2</v>
      </c>
      <c r="I16" s="7">
        <v>2853.1</v>
      </c>
      <c r="J16" s="7">
        <v>2737.4</v>
      </c>
      <c r="K16" s="7">
        <v>3006.5</v>
      </c>
      <c r="L16" s="7">
        <v>6454</v>
      </c>
      <c r="M16" s="7">
        <v>22984.7</v>
      </c>
      <c r="N16" s="7">
        <v>24594.3</v>
      </c>
      <c r="O16" s="53">
        <f t="shared" si="0"/>
        <v>165263.19999999998</v>
      </c>
    </row>
    <row r="17" spans="1:15">
      <c r="A17" s="7"/>
      <c r="B17" s="6" t="s">
        <v>30</v>
      </c>
      <c r="C17" s="7">
        <v>1667.8</v>
      </c>
      <c r="D17" s="7">
        <v>1566.2</v>
      </c>
      <c r="E17" s="7">
        <v>1607</v>
      </c>
      <c r="F17" s="7">
        <v>483.7</v>
      </c>
      <c r="G17" s="7">
        <v>484.5</v>
      </c>
      <c r="H17" s="7">
        <v>161.80000000000001</v>
      </c>
      <c r="I17" s="7">
        <v>109.3</v>
      </c>
      <c r="J17" s="7">
        <v>102.6</v>
      </c>
      <c r="K17" s="7">
        <v>98.6</v>
      </c>
      <c r="L17" s="7">
        <v>192.5</v>
      </c>
      <c r="M17" s="7">
        <v>818.8</v>
      </c>
      <c r="N17" s="7">
        <v>1352.6</v>
      </c>
      <c r="O17" s="53">
        <f t="shared" si="0"/>
        <v>8645.4000000000015</v>
      </c>
    </row>
    <row r="18" spans="1:15">
      <c r="A18" s="7"/>
      <c r="B18" s="6" t="s">
        <v>31</v>
      </c>
      <c r="C18" s="7">
        <v>21588</v>
      </c>
      <c r="D18" s="7">
        <v>20998.91</v>
      </c>
      <c r="E18" s="7">
        <v>19949.990000000002</v>
      </c>
      <c r="F18" s="7">
        <v>8441.9599999999991</v>
      </c>
      <c r="G18" s="7">
        <v>7472.34</v>
      </c>
      <c r="H18" s="7">
        <v>3738.52</v>
      </c>
      <c r="I18" s="7">
        <v>3197.23</v>
      </c>
      <c r="J18" s="7">
        <v>2738.04</v>
      </c>
      <c r="K18" s="7">
        <v>2893.29</v>
      </c>
      <c r="L18" s="7">
        <v>3473.24</v>
      </c>
      <c r="M18" s="7">
        <v>9465.7000000000007</v>
      </c>
      <c r="N18" s="7">
        <v>17713.25</v>
      </c>
      <c r="O18" s="53">
        <f t="shared" si="0"/>
        <v>121670.47</v>
      </c>
    </row>
    <row r="19" spans="1:15">
      <c r="A19" s="7"/>
      <c r="B19" s="6" t="s">
        <v>32</v>
      </c>
      <c r="C19" s="7">
        <v>2621.4</v>
      </c>
      <c r="D19" s="7">
        <v>2326.1</v>
      </c>
      <c r="E19" s="7">
        <v>1740.8</v>
      </c>
      <c r="F19" s="7">
        <v>700.5</v>
      </c>
      <c r="G19" s="7">
        <v>493.7</v>
      </c>
      <c r="H19" s="7">
        <v>193.6</v>
      </c>
      <c r="I19" s="7">
        <v>152.69999999999999</v>
      </c>
      <c r="J19" s="7">
        <v>134.6</v>
      </c>
      <c r="K19" s="7">
        <v>149.69999999999999</v>
      </c>
      <c r="L19" s="7">
        <v>486.4</v>
      </c>
      <c r="M19" s="7">
        <v>1340.3</v>
      </c>
      <c r="N19" s="7">
        <v>1878.7</v>
      </c>
      <c r="O19" s="53">
        <f t="shared" si="0"/>
        <v>12218.500000000002</v>
      </c>
    </row>
    <row r="20" spans="1:15">
      <c r="A20" s="7"/>
      <c r="B20" s="6" t="s">
        <v>33</v>
      </c>
      <c r="C20" s="7">
        <v>755</v>
      </c>
      <c r="D20" s="7">
        <v>626.4</v>
      </c>
      <c r="E20" s="7">
        <v>390.8</v>
      </c>
      <c r="F20" s="7">
        <v>253.8</v>
      </c>
      <c r="G20" s="7">
        <v>112.4</v>
      </c>
      <c r="H20" s="7">
        <v>49.1</v>
      </c>
      <c r="I20" s="7">
        <v>45.3</v>
      </c>
      <c r="J20" s="7">
        <v>40.1</v>
      </c>
      <c r="K20" s="7">
        <v>71.599999999999994</v>
      </c>
      <c r="L20" s="7">
        <v>208.6</v>
      </c>
      <c r="M20" s="7">
        <v>520.4</v>
      </c>
      <c r="N20" s="7">
        <v>488</v>
      </c>
      <c r="O20" s="53">
        <f t="shared" si="0"/>
        <v>3561.5</v>
      </c>
    </row>
    <row r="21" spans="1:15">
      <c r="A21" s="7"/>
      <c r="B21" s="6" t="s">
        <v>34</v>
      </c>
      <c r="C21" s="7">
        <v>5272.22</v>
      </c>
      <c r="D21" s="7">
        <v>4290.05</v>
      </c>
      <c r="E21" s="7">
        <v>2501.41</v>
      </c>
      <c r="F21" s="7">
        <v>1521.88</v>
      </c>
      <c r="G21" s="7">
        <v>889.78</v>
      </c>
      <c r="H21" s="7">
        <v>502.84</v>
      </c>
      <c r="I21" s="7">
        <v>473.1</v>
      </c>
      <c r="J21" s="7">
        <v>430.82</v>
      </c>
      <c r="K21" s="7">
        <v>493.74</v>
      </c>
      <c r="L21" s="7">
        <v>1112.8599999999999</v>
      </c>
      <c r="M21" s="7">
        <v>3105.42</v>
      </c>
      <c r="N21" s="7">
        <v>4283.59</v>
      </c>
      <c r="O21" s="53">
        <f t="shared" si="0"/>
        <v>24877.710000000003</v>
      </c>
    </row>
    <row r="22" spans="1:15">
      <c r="A22" s="7"/>
      <c r="B22" s="6" t="s">
        <v>35</v>
      </c>
      <c r="C22" s="7">
        <v>1045.3</v>
      </c>
      <c r="D22" s="7">
        <v>936.7</v>
      </c>
      <c r="E22" s="7">
        <v>534</v>
      </c>
      <c r="F22" s="7">
        <v>327.10000000000002</v>
      </c>
      <c r="G22" s="7">
        <v>122.9</v>
      </c>
      <c r="H22" s="7">
        <v>83.6</v>
      </c>
      <c r="I22" s="7">
        <v>68.3</v>
      </c>
      <c r="J22" s="7">
        <v>69</v>
      </c>
      <c r="K22" s="7">
        <v>90.9</v>
      </c>
      <c r="L22" s="7">
        <v>250.5</v>
      </c>
      <c r="M22" s="7">
        <v>775.7</v>
      </c>
      <c r="N22" s="7">
        <v>853.1</v>
      </c>
      <c r="O22" s="53">
        <f t="shared" si="0"/>
        <v>5157.1000000000004</v>
      </c>
    </row>
    <row r="23" spans="1:15">
      <c r="A23" s="7"/>
      <c r="B23" s="6" t="s">
        <v>36</v>
      </c>
      <c r="C23" s="7">
        <v>13650.09</v>
      </c>
      <c r="D23" s="7">
        <v>11807.4</v>
      </c>
      <c r="E23" s="7">
        <v>10348.76</v>
      </c>
      <c r="F23" s="7">
        <v>3634.99</v>
      </c>
      <c r="G23" s="7">
        <v>2899.48</v>
      </c>
      <c r="H23" s="7">
        <v>1257.55</v>
      </c>
      <c r="I23" s="7">
        <v>949.43</v>
      </c>
      <c r="J23" s="7">
        <v>847.04</v>
      </c>
      <c r="K23" s="7">
        <v>917.91</v>
      </c>
      <c r="L23" s="7">
        <v>2385.7399999999998</v>
      </c>
      <c r="M23" s="7">
        <v>7175.68</v>
      </c>
      <c r="N23" s="7">
        <v>10022.85</v>
      </c>
      <c r="O23" s="53">
        <f t="shared" si="0"/>
        <v>65896.920000000013</v>
      </c>
    </row>
    <row r="24" spans="1:15">
      <c r="A24" s="7"/>
      <c r="B24" s="6" t="s">
        <v>37</v>
      </c>
      <c r="C24" s="7">
        <v>1267.8</v>
      </c>
      <c r="D24" s="7">
        <v>987</v>
      </c>
      <c r="E24" s="7">
        <v>640.9</v>
      </c>
      <c r="F24" s="7">
        <v>451.8</v>
      </c>
      <c r="G24" s="7">
        <v>159.30000000000001</v>
      </c>
      <c r="H24" s="7">
        <v>81.599999999999994</v>
      </c>
      <c r="I24" s="7">
        <v>75.2</v>
      </c>
      <c r="J24" s="7">
        <v>64.7</v>
      </c>
      <c r="K24" s="7">
        <v>89.7</v>
      </c>
      <c r="L24" s="7">
        <v>292.3</v>
      </c>
      <c r="M24" s="7">
        <v>928.9</v>
      </c>
      <c r="N24" s="7">
        <v>893.2</v>
      </c>
      <c r="O24" s="53">
        <f t="shared" si="0"/>
        <v>5932.4</v>
      </c>
    </row>
    <row r="25" spans="1:15">
      <c r="A25" s="7"/>
      <c r="B25" s="6" t="s">
        <v>38</v>
      </c>
      <c r="C25" s="7">
        <v>11405.41</v>
      </c>
      <c r="D25" s="7">
        <v>10938.66</v>
      </c>
      <c r="E25" s="7">
        <v>10185.68</v>
      </c>
      <c r="F25" s="7">
        <v>3376.38</v>
      </c>
      <c r="G25" s="7">
        <v>3184.66</v>
      </c>
      <c r="H25" s="7">
        <v>1073.2</v>
      </c>
      <c r="I25" s="7">
        <v>732.33</v>
      </c>
      <c r="J25" s="7">
        <v>634.9</v>
      </c>
      <c r="K25" s="7">
        <v>673.99</v>
      </c>
      <c r="L25" s="7">
        <v>1454.05</v>
      </c>
      <c r="M25" s="7">
        <v>5338.86</v>
      </c>
      <c r="N25" s="7">
        <v>9363.7900000000009</v>
      </c>
      <c r="O25" s="53">
        <f t="shared" si="0"/>
        <v>58361.909999999996</v>
      </c>
    </row>
    <row r="26" spans="1:15">
      <c r="A26" s="7"/>
      <c r="B26" s="6" t="s">
        <v>39</v>
      </c>
      <c r="C26" s="7">
        <v>22095.24</v>
      </c>
      <c r="D26" s="7">
        <v>21101.35</v>
      </c>
      <c r="E26" s="7">
        <v>18191.34</v>
      </c>
      <c r="F26" s="7">
        <v>6945.88</v>
      </c>
      <c r="G26" s="7">
        <v>6108.67</v>
      </c>
      <c r="H26" s="7">
        <v>2630.35</v>
      </c>
      <c r="I26" s="7">
        <v>2100.48</v>
      </c>
      <c r="J26" s="7">
        <v>1756.91</v>
      </c>
      <c r="K26" s="7">
        <v>2091.9299999999998</v>
      </c>
      <c r="L26" s="7">
        <v>3951.08</v>
      </c>
      <c r="M26" s="7">
        <v>11245.57</v>
      </c>
      <c r="N26" s="7">
        <v>17913.12</v>
      </c>
      <c r="O26" s="53">
        <f t="shared" si="0"/>
        <v>116131.91999999998</v>
      </c>
    </row>
    <row r="27" spans="1:15">
      <c r="A27" s="7"/>
      <c r="B27" s="6" t="s">
        <v>40</v>
      </c>
      <c r="C27" s="7">
        <v>1133.9000000000001</v>
      </c>
      <c r="D27" s="7">
        <v>1267.7</v>
      </c>
      <c r="E27" s="7">
        <v>909.9</v>
      </c>
      <c r="F27" s="7">
        <v>336.4</v>
      </c>
      <c r="G27" s="7">
        <v>273.7</v>
      </c>
      <c r="H27" s="7">
        <v>90.8</v>
      </c>
      <c r="I27" s="7">
        <v>68</v>
      </c>
      <c r="J27" s="7">
        <v>57.8</v>
      </c>
      <c r="K27" s="7">
        <v>60.7</v>
      </c>
      <c r="L27" s="7">
        <v>226</v>
      </c>
      <c r="M27" s="7">
        <v>632.5</v>
      </c>
      <c r="N27" s="7">
        <v>903.6</v>
      </c>
      <c r="O27" s="53">
        <f t="shared" si="0"/>
        <v>5961.0000000000009</v>
      </c>
    </row>
    <row r="28" spans="1:15">
      <c r="A28" s="7"/>
      <c r="B28" s="6" t="s">
        <v>41</v>
      </c>
      <c r="C28" s="7">
        <v>13371.63</v>
      </c>
      <c r="D28" s="7">
        <v>11669.38</v>
      </c>
      <c r="E28" s="7">
        <v>8353.1200000000008</v>
      </c>
      <c r="F28" s="7">
        <v>3594.58</v>
      </c>
      <c r="G28" s="7">
        <v>2564.5500000000002</v>
      </c>
      <c r="H28" s="7">
        <v>1042.3499999999999</v>
      </c>
      <c r="I28" s="7">
        <v>827.23</v>
      </c>
      <c r="J28" s="7">
        <v>783.91</v>
      </c>
      <c r="K28" s="7">
        <v>826</v>
      </c>
      <c r="L28" s="7">
        <v>2791.34</v>
      </c>
      <c r="M28" s="7">
        <v>7645.37</v>
      </c>
      <c r="N28" s="7">
        <v>9792.94</v>
      </c>
      <c r="O28" s="53">
        <f t="shared" si="0"/>
        <v>63262.400000000016</v>
      </c>
    </row>
    <row r="29" spans="1:15">
      <c r="A29" s="8"/>
      <c r="B29" s="9" t="s">
        <v>42</v>
      </c>
      <c r="C29" s="8">
        <v>186238.65</v>
      </c>
      <c r="D29" s="8">
        <v>170053.04</v>
      </c>
      <c r="E29" s="8">
        <v>134126.23000000001</v>
      </c>
      <c r="F29" s="8">
        <v>56503.69</v>
      </c>
      <c r="G29" s="8">
        <v>43407.18</v>
      </c>
      <c r="H29" s="8">
        <v>21389.86</v>
      </c>
      <c r="I29" s="8">
        <v>17853.93</v>
      </c>
      <c r="J29" s="8">
        <v>16082.65</v>
      </c>
      <c r="K29" s="8">
        <v>18141.87</v>
      </c>
      <c r="L29" s="8">
        <v>36086.89</v>
      </c>
      <c r="M29" s="8">
        <v>105561.49</v>
      </c>
      <c r="N29" s="8">
        <v>143879.12</v>
      </c>
      <c r="O29" s="53">
        <f t="shared" si="0"/>
        <v>949324.60000000021</v>
      </c>
    </row>
    <row r="30" spans="1:15">
      <c r="A30" s="7"/>
      <c r="B30" s="6"/>
      <c r="C30" s="7"/>
      <c r="D30" s="7"/>
      <c r="E30" s="7"/>
      <c r="F30" s="7"/>
      <c r="G30" s="7"/>
      <c r="H30" s="7"/>
      <c r="I30" s="7"/>
      <c r="J30" s="7"/>
      <c r="K30" s="7"/>
      <c r="L30" s="7"/>
      <c r="M30" s="7"/>
      <c r="N30" s="7"/>
      <c r="O30" s="53"/>
    </row>
    <row r="31" spans="1:15">
      <c r="A31" s="6" t="s">
        <v>43</v>
      </c>
      <c r="B31" s="6" t="s">
        <v>26</v>
      </c>
      <c r="C31" s="7">
        <v>28716.27</v>
      </c>
      <c r="D31" s="7">
        <v>26933.54</v>
      </c>
      <c r="E31" s="7">
        <v>19970.91</v>
      </c>
      <c r="F31" s="7">
        <v>9280.67</v>
      </c>
      <c r="G31" s="7">
        <v>7308.13</v>
      </c>
      <c r="H31" s="7">
        <v>5928.72</v>
      </c>
      <c r="I31" s="7">
        <v>5513.48</v>
      </c>
      <c r="J31" s="7">
        <v>5889.32</v>
      </c>
      <c r="K31" s="7">
        <v>5048.63</v>
      </c>
      <c r="L31" s="7">
        <v>7542.38</v>
      </c>
      <c r="M31" s="7">
        <v>15575.09</v>
      </c>
      <c r="N31" s="7">
        <v>21291.32</v>
      </c>
      <c r="O31" s="53">
        <f t="shared" si="0"/>
        <v>158998.46000000002</v>
      </c>
    </row>
    <row r="32" spans="1:15">
      <c r="A32" s="7"/>
      <c r="B32" s="6" t="s">
        <v>27</v>
      </c>
      <c r="C32" s="7">
        <v>2153.3200000000002</v>
      </c>
      <c r="D32" s="7">
        <v>1843.59</v>
      </c>
      <c r="E32" s="7">
        <v>1194.8699999999999</v>
      </c>
      <c r="F32" s="7">
        <v>681.71</v>
      </c>
      <c r="G32" s="7">
        <v>502.03</v>
      </c>
      <c r="H32" s="7">
        <v>201.82</v>
      </c>
      <c r="I32" s="7">
        <v>155.83000000000001</v>
      </c>
      <c r="J32" s="7">
        <v>138.1</v>
      </c>
      <c r="K32" s="7">
        <v>139.85</v>
      </c>
      <c r="L32" s="7">
        <v>501.08</v>
      </c>
      <c r="M32" s="7">
        <v>1700.07</v>
      </c>
      <c r="N32" s="7">
        <v>1851.81</v>
      </c>
      <c r="O32" s="53">
        <f t="shared" si="0"/>
        <v>11064.08</v>
      </c>
    </row>
    <row r="33" spans="1:15" s="11" customFormat="1">
      <c r="A33" s="7"/>
      <c r="B33" s="19" t="s">
        <v>28</v>
      </c>
      <c r="C33" s="20">
        <v>52798.57</v>
      </c>
      <c r="D33" s="20">
        <v>49382.74</v>
      </c>
      <c r="E33" s="20">
        <v>40942.800000000003</v>
      </c>
      <c r="F33" s="20">
        <v>24320.54</v>
      </c>
      <c r="G33" s="20">
        <v>20206.2</v>
      </c>
      <c r="H33" s="20">
        <v>13182.63</v>
      </c>
      <c r="I33" s="20">
        <v>13371.45</v>
      </c>
      <c r="J33" s="20">
        <v>11279.33</v>
      </c>
      <c r="K33" s="20">
        <v>14083.57</v>
      </c>
      <c r="L33" s="20">
        <v>20512.97</v>
      </c>
      <c r="M33" s="20">
        <v>37771.730000000003</v>
      </c>
      <c r="N33" s="20">
        <v>45215.31</v>
      </c>
      <c r="O33" s="54">
        <f t="shared" si="0"/>
        <v>343067.84</v>
      </c>
    </row>
    <row r="34" spans="1:15">
      <c r="A34" s="7"/>
      <c r="B34" s="6" t="s">
        <v>29</v>
      </c>
      <c r="C34" s="7">
        <v>49514.66</v>
      </c>
      <c r="D34" s="7">
        <v>44834.65</v>
      </c>
      <c r="E34" s="7">
        <v>30453.47</v>
      </c>
      <c r="F34" s="7">
        <v>15305.33</v>
      </c>
      <c r="G34" s="7">
        <v>10895.93</v>
      </c>
      <c r="H34" s="7">
        <v>9180.68</v>
      </c>
      <c r="I34" s="7">
        <v>8395.23</v>
      </c>
      <c r="J34" s="7">
        <v>8354.32</v>
      </c>
      <c r="K34" s="7">
        <v>9002.0300000000007</v>
      </c>
      <c r="L34" s="7">
        <v>12798.04</v>
      </c>
      <c r="M34" s="7">
        <v>31811.279999999999</v>
      </c>
      <c r="N34" s="7">
        <v>37850.28</v>
      </c>
      <c r="O34" s="53">
        <f t="shared" si="0"/>
        <v>268395.90000000002</v>
      </c>
    </row>
    <row r="35" spans="1:15">
      <c r="A35" s="7"/>
      <c r="B35" s="6" t="s">
        <v>30</v>
      </c>
      <c r="C35" s="7">
        <v>4270.3100000000004</v>
      </c>
      <c r="D35" s="7">
        <v>4171.1000000000004</v>
      </c>
      <c r="E35" s="7">
        <v>4476.6499999999996</v>
      </c>
      <c r="F35" s="7">
        <v>1075.73</v>
      </c>
      <c r="G35" s="7">
        <v>1093.24</v>
      </c>
      <c r="H35" s="7">
        <v>536.66999999999996</v>
      </c>
      <c r="I35" s="7">
        <v>473.81</v>
      </c>
      <c r="J35" s="7">
        <v>479.9</v>
      </c>
      <c r="K35" s="7">
        <v>447.08</v>
      </c>
      <c r="L35" s="7">
        <v>656.1</v>
      </c>
      <c r="M35" s="7">
        <v>2204.0700000000002</v>
      </c>
      <c r="N35" s="7">
        <v>3773.4</v>
      </c>
      <c r="O35" s="53">
        <f t="shared" si="0"/>
        <v>23658.06</v>
      </c>
    </row>
    <row r="36" spans="1:15">
      <c r="A36" s="7"/>
      <c r="B36" s="6" t="s">
        <v>31</v>
      </c>
      <c r="C36" s="7">
        <v>31733.58</v>
      </c>
      <c r="D36" s="7">
        <v>30690.639999999999</v>
      </c>
      <c r="E36" s="7">
        <v>30118.06</v>
      </c>
      <c r="F36" s="7">
        <v>13378.62</v>
      </c>
      <c r="G36" s="7">
        <v>12077.44</v>
      </c>
      <c r="H36" s="7">
        <v>7718.65</v>
      </c>
      <c r="I36" s="7">
        <v>7065.53</v>
      </c>
      <c r="J36" s="7">
        <v>6789.08</v>
      </c>
      <c r="K36" s="7">
        <v>7090.59</v>
      </c>
      <c r="L36" s="7">
        <v>7977.77</v>
      </c>
      <c r="M36" s="7">
        <v>16335.73</v>
      </c>
      <c r="N36" s="7">
        <v>26546.05</v>
      </c>
      <c r="O36" s="53">
        <f t="shared" si="0"/>
        <v>197521.73999999996</v>
      </c>
    </row>
    <row r="37" spans="1:15">
      <c r="A37" s="7"/>
      <c r="B37" s="6" t="s">
        <v>32</v>
      </c>
      <c r="C37" s="7">
        <v>15940.65</v>
      </c>
      <c r="D37" s="7">
        <v>14311.13</v>
      </c>
      <c r="E37" s="7">
        <v>11617.77</v>
      </c>
      <c r="F37" s="7">
        <v>6819.95</v>
      </c>
      <c r="G37" s="7">
        <v>5302.71</v>
      </c>
      <c r="H37" s="7">
        <v>4029.21</v>
      </c>
      <c r="I37" s="7">
        <v>3816.98</v>
      </c>
      <c r="J37" s="7">
        <v>3383.15</v>
      </c>
      <c r="K37" s="7">
        <v>4074.18</v>
      </c>
      <c r="L37" s="7">
        <v>5072.37</v>
      </c>
      <c r="M37" s="7">
        <v>9014.0300000000007</v>
      </c>
      <c r="N37" s="7">
        <v>12181.75</v>
      </c>
      <c r="O37" s="53">
        <f t="shared" si="0"/>
        <v>95563.87999999999</v>
      </c>
    </row>
    <row r="38" spans="1:15">
      <c r="A38" s="7"/>
      <c r="B38" s="6" t="s">
        <v>33</v>
      </c>
      <c r="C38" s="7">
        <v>2254.67</v>
      </c>
      <c r="D38" s="7">
        <v>1940.74</v>
      </c>
      <c r="E38" s="7">
        <v>1532.31</v>
      </c>
      <c r="F38" s="7">
        <v>1125.82</v>
      </c>
      <c r="G38" s="7">
        <v>542.29999999999995</v>
      </c>
      <c r="H38" s="7">
        <v>499.15</v>
      </c>
      <c r="I38" s="7">
        <v>401.84</v>
      </c>
      <c r="J38" s="7">
        <v>517.83000000000004</v>
      </c>
      <c r="K38" s="7">
        <v>880.46</v>
      </c>
      <c r="L38" s="7">
        <v>1213.01</v>
      </c>
      <c r="M38" s="7">
        <v>2107.63</v>
      </c>
      <c r="N38" s="7">
        <v>2031.82</v>
      </c>
      <c r="O38" s="53">
        <f t="shared" si="0"/>
        <v>15047.579999999998</v>
      </c>
    </row>
    <row r="39" spans="1:15">
      <c r="A39" s="7"/>
      <c r="B39" s="6" t="s">
        <v>34</v>
      </c>
      <c r="C39" s="7">
        <v>6685.19</v>
      </c>
      <c r="D39" s="7">
        <v>5509.26</v>
      </c>
      <c r="E39" s="7">
        <v>3664.43</v>
      </c>
      <c r="F39" s="7">
        <v>2153</v>
      </c>
      <c r="G39" s="7">
        <v>1501.08</v>
      </c>
      <c r="H39" s="7">
        <v>1033.78</v>
      </c>
      <c r="I39" s="7">
        <v>1013.82</v>
      </c>
      <c r="J39" s="7">
        <v>1130.05</v>
      </c>
      <c r="K39" s="7">
        <v>1068.83</v>
      </c>
      <c r="L39" s="7">
        <v>1444.9</v>
      </c>
      <c r="M39" s="7">
        <v>3592.4</v>
      </c>
      <c r="N39" s="7">
        <v>4673.1400000000003</v>
      </c>
      <c r="O39" s="53">
        <f t="shared" si="0"/>
        <v>33469.879999999997</v>
      </c>
    </row>
    <row r="40" spans="1:15">
      <c r="A40" s="7"/>
      <c r="B40" s="6" t="s">
        <v>35</v>
      </c>
      <c r="C40" s="7">
        <v>1395.71</v>
      </c>
      <c r="D40" s="7">
        <v>1121.3499999999999</v>
      </c>
      <c r="E40" s="7">
        <v>914.93</v>
      </c>
      <c r="F40" s="7">
        <v>415.22</v>
      </c>
      <c r="G40" s="7">
        <v>377.46</v>
      </c>
      <c r="H40" s="7">
        <v>443</v>
      </c>
      <c r="I40" s="7">
        <v>403.43</v>
      </c>
      <c r="J40" s="7">
        <v>386.89</v>
      </c>
      <c r="K40" s="7">
        <v>380.94</v>
      </c>
      <c r="L40" s="7">
        <v>502.04</v>
      </c>
      <c r="M40" s="7">
        <v>1101.3599999999999</v>
      </c>
      <c r="N40" s="7">
        <v>1178.75</v>
      </c>
      <c r="O40" s="53">
        <f t="shared" si="0"/>
        <v>8621.08</v>
      </c>
    </row>
    <row r="41" spans="1:15">
      <c r="A41" s="7"/>
      <c r="B41" s="6" t="s">
        <v>36</v>
      </c>
      <c r="C41" s="7">
        <v>16962.48</v>
      </c>
      <c r="D41" s="7">
        <v>14621.89</v>
      </c>
      <c r="E41" s="7">
        <v>13442.03</v>
      </c>
      <c r="F41" s="7">
        <v>4688.0600000000004</v>
      </c>
      <c r="G41" s="7">
        <v>4144.7700000000004</v>
      </c>
      <c r="H41" s="7">
        <v>2796.62</v>
      </c>
      <c r="I41" s="7">
        <v>2520.69</v>
      </c>
      <c r="J41" s="7">
        <v>2410.2800000000002</v>
      </c>
      <c r="K41" s="7">
        <v>2233.37</v>
      </c>
      <c r="L41" s="7">
        <v>3490.6</v>
      </c>
      <c r="M41" s="7">
        <v>7971.64</v>
      </c>
      <c r="N41" s="7">
        <v>11523.5</v>
      </c>
      <c r="O41" s="53">
        <f t="shared" si="0"/>
        <v>86805.930000000008</v>
      </c>
    </row>
    <row r="42" spans="1:15">
      <c r="A42" s="7"/>
      <c r="B42" s="6" t="s">
        <v>37</v>
      </c>
      <c r="C42" s="7">
        <v>2447.08</v>
      </c>
      <c r="D42" s="7">
        <v>2002.47</v>
      </c>
      <c r="E42" s="7">
        <v>1392.1</v>
      </c>
      <c r="F42" s="7">
        <v>1020.41</v>
      </c>
      <c r="G42" s="7">
        <v>719.22</v>
      </c>
      <c r="H42" s="7">
        <v>674.43</v>
      </c>
      <c r="I42" s="7">
        <v>631.02</v>
      </c>
      <c r="J42" s="7">
        <v>626.41999999999996</v>
      </c>
      <c r="K42" s="7">
        <v>696.27</v>
      </c>
      <c r="L42" s="7">
        <v>855.19</v>
      </c>
      <c r="M42" s="7">
        <v>1737.76</v>
      </c>
      <c r="N42" s="7">
        <v>1828.74</v>
      </c>
      <c r="O42" s="53">
        <f t="shared" si="0"/>
        <v>14631.11</v>
      </c>
    </row>
    <row r="43" spans="1:15">
      <c r="A43" s="7"/>
      <c r="B43" s="6" t="s">
        <v>38</v>
      </c>
      <c r="C43" s="7">
        <v>9129.01</v>
      </c>
      <c r="D43" s="7">
        <v>8990.16</v>
      </c>
      <c r="E43" s="7">
        <v>8924.6200000000008</v>
      </c>
      <c r="F43" s="7">
        <v>3449.54</v>
      </c>
      <c r="G43" s="7">
        <v>3021.9</v>
      </c>
      <c r="H43" s="7">
        <v>1806.26</v>
      </c>
      <c r="I43" s="7">
        <v>1636.49</v>
      </c>
      <c r="J43" s="7">
        <v>1409.07</v>
      </c>
      <c r="K43" s="7">
        <v>1623.51</v>
      </c>
      <c r="L43" s="7">
        <v>1973.27</v>
      </c>
      <c r="M43" s="7">
        <v>4769.59</v>
      </c>
      <c r="N43" s="7">
        <v>7923.78</v>
      </c>
      <c r="O43" s="53">
        <f t="shared" si="0"/>
        <v>54657.2</v>
      </c>
    </row>
    <row r="44" spans="1:15">
      <c r="A44" s="7"/>
      <c r="B44" s="6" t="s">
        <v>39</v>
      </c>
      <c r="C44" s="7">
        <v>23795.94</v>
      </c>
      <c r="D44" s="7">
        <v>17668.89</v>
      </c>
      <c r="E44" s="7">
        <v>14832.56</v>
      </c>
      <c r="F44" s="7">
        <v>8181.58</v>
      </c>
      <c r="G44" s="7">
        <v>6974.62</v>
      </c>
      <c r="H44" s="7">
        <v>3946.17</v>
      </c>
      <c r="I44" s="7">
        <v>4284.08</v>
      </c>
      <c r="J44" s="7">
        <v>3627.31</v>
      </c>
      <c r="K44" s="7">
        <v>3987.05</v>
      </c>
      <c r="L44" s="7">
        <v>5593.03</v>
      </c>
      <c r="M44" s="7">
        <v>10007.790000000001</v>
      </c>
      <c r="N44" s="7">
        <v>14418</v>
      </c>
      <c r="O44" s="53">
        <f t="shared" si="0"/>
        <v>117317.01999999999</v>
      </c>
    </row>
    <row r="45" spans="1:15">
      <c r="A45" s="7"/>
      <c r="B45" s="6" t="s">
        <v>40</v>
      </c>
      <c r="C45" s="7">
        <v>3428.36</v>
      </c>
      <c r="D45" s="7">
        <v>3792.4</v>
      </c>
      <c r="E45" s="7">
        <v>2834.62</v>
      </c>
      <c r="F45" s="7">
        <v>1023.6</v>
      </c>
      <c r="G45" s="7">
        <v>996.84</v>
      </c>
      <c r="H45" s="7">
        <v>344.54</v>
      </c>
      <c r="I45" s="7">
        <v>336.41</v>
      </c>
      <c r="J45" s="7">
        <v>208.67</v>
      </c>
      <c r="K45" s="7">
        <v>234.07</v>
      </c>
      <c r="L45" s="7">
        <v>604.48</v>
      </c>
      <c r="M45" s="7">
        <v>1613.35</v>
      </c>
      <c r="N45" s="7">
        <v>2702.68</v>
      </c>
      <c r="O45" s="53">
        <f t="shared" si="0"/>
        <v>18120.02</v>
      </c>
    </row>
    <row r="46" spans="1:15">
      <c r="A46" s="7"/>
      <c r="B46" s="6" t="s">
        <v>41</v>
      </c>
      <c r="C46" s="7">
        <v>30366.91</v>
      </c>
      <c r="D46" s="7">
        <v>26667.29</v>
      </c>
      <c r="E46" s="7">
        <v>19283.62</v>
      </c>
      <c r="F46" s="7">
        <v>10299.459999999999</v>
      </c>
      <c r="G46" s="7">
        <v>8535.7199999999993</v>
      </c>
      <c r="H46" s="7">
        <v>6014.23</v>
      </c>
      <c r="I46" s="7">
        <v>5897.53</v>
      </c>
      <c r="J46" s="7">
        <v>6330.07</v>
      </c>
      <c r="K46" s="7">
        <v>5749.44</v>
      </c>
      <c r="L46" s="7">
        <v>9423.94</v>
      </c>
      <c r="M46" s="7">
        <v>18183.650000000001</v>
      </c>
      <c r="N46" s="7">
        <v>22986.37</v>
      </c>
      <c r="O46" s="53">
        <f t="shared" si="0"/>
        <v>169738.22999999998</v>
      </c>
    </row>
    <row r="47" spans="1:15">
      <c r="A47" s="8"/>
      <c r="B47" s="9" t="s">
        <v>42</v>
      </c>
      <c r="C47" s="8">
        <v>281592.71000000002</v>
      </c>
      <c r="D47" s="8">
        <v>254481.84</v>
      </c>
      <c r="E47" s="8">
        <v>205595.75</v>
      </c>
      <c r="F47" s="8">
        <v>103219.24</v>
      </c>
      <c r="G47" s="8">
        <v>84199.59</v>
      </c>
      <c r="H47" s="8">
        <v>58336.56</v>
      </c>
      <c r="I47" s="8">
        <v>55917.62</v>
      </c>
      <c r="J47" s="8">
        <v>52959.79</v>
      </c>
      <c r="K47" s="8">
        <v>56739.87</v>
      </c>
      <c r="L47" s="8">
        <v>80161.17</v>
      </c>
      <c r="M47" s="8">
        <v>165497.17000000001</v>
      </c>
      <c r="N47" s="8">
        <v>217976.7</v>
      </c>
      <c r="O47" s="53">
        <f t="shared" si="0"/>
        <v>1616678.0099999998</v>
      </c>
    </row>
    <row r="48" spans="1:15">
      <c r="A48" s="7"/>
      <c r="B48" s="6"/>
      <c r="C48" s="7"/>
      <c r="D48" s="7"/>
      <c r="E48" s="7"/>
      <c r="F48" s="7"/>
      <c r="G48" s="7"/>
      <c r="H48" s="7"/>
      <c r="I48" s="7"/>
      <c r="J48" s="7"/>
      <c r="K48" s="7"/>
      <c r="L48" s="7"/>
      <c r="M48" s="7"/>
      <c r="N48" s="7"/>
      <c r="O48" s="53"/>
    </row>
    <row r="49" spans="1:15">
      <c r="A49" s="6" t="s">
        <v>44</v>
      </c>
      <c r="B49" s="6" t="s">
        <v>26</v>
      </c>
      <c r="C49" s="7">
        <v>9954.25</v>
      </c>
      <c r="D49" s="7">
        <v>10371.620000000001</v>
      </c>
      <c r="E49" s="7">
        <v>8473.2199999999993</v>
      </c>
      <c r="F49" s="7">
        <v>7242.72</v>
      </c>
      <c r="G49" s="7">
        <v>4565.45</v>
      </c>
      <c r="H49" s="7">
        <v>5628.46</v>
      </c>
      <c r="I49" s="7">
        <v>6513.55</v>
      </c>
      <c r="J49" s="7">
        <v>5177.82</v>
      </c>
      <c r="K49" s="7">
        <v>5421.15</v>
      </c>
      <c r="L49" s="7">
        <v>5675.19</v>
      </c>
      <c r="M49" s="7">
        <v>6739.05</v>
      </c>
      <c r="N49" s="7">
        <v>7535.78</v>
      </c>
      <c r="O49" s="53">
        <f t="shared" si="0"/>
        <v>83298.260000000009</v>
      </c>
    </row>
    <row r="50" spans="1:15">
      <c r="A50" s="7"/>
      <c r="B50" s="6" t="s">
        <v>27</v>
      </c>
      <c r="C50" s="7">
        <v>7197.1</v>
      </c>
      <c r="D50" s="7">
        <v>7615.6</v>
      </c>
      <c r="E50" s="7">
        <v>5000.3</v>
      </c>
      <c r="F50" s="7">
        <v>3769.6</v>
      </c>
      <c r="G50" s="7">
        <v>1225.5</v>
      </c>
      <c r="H50" s="7">
        <v>208</v>
      </c>
      <c r="I50" s="7">
        <v>17</v>
      </c>
      <c r="J50" s="7">
        <v>26</v>
      </c>
      <c r="K50" s="7">
        <v>356</v>
      </c>
      <c r="L50" s="7">
        <v>2526.6999999999998</v>
      </c>
      <c r="M50" s="7">
        <v>6845.6</v>
      </c>
      <c r="N50" s="7">
        <v>7873.3</v>
      </c>
      <c r="O50" s="53">
        <f t="shared" si="0"/>
        <v>42660.700000000004</v>
      </c>
    </row>
    <row r="51" spans="1:15" s="1" customFormat="1">
      <c r="A51" s="8"/>
      <c r="B51" s="19" t="s">
        <v>28</v>
      </c>
      <c r="C51" s="20">
        <v>10856.62</v>
      </c>
      <c r="D51" s="20">
        <v>2461.5300000000002</v>
      </c>
      <c r="E51" s="20">
        <v>3103.87</v>
      </c>
      <c r="F51" s="20">
        <v>6149.98</v>
      </c>
      <c r="G51" s="20">
        <v>6278.76</v>
      </c>
      <c r="H51" s="20">
        <v>532.38</v>
      </c>
      <c r="I51" s="20">
        <v>757.88</v>
      </c>
      <c r="J51" s="20">
        <v>686.28</v>
      </c>
      <c r="K51" s="20">
        <v>529.89</v>
      </c>
      <c r="L51" s="20">
        <v>355.83</v>
      </c>
      <c r="M51" s="20">
        <v>683.57</v>
      </c>
      <c r="N51" s="20">
        <v>715.11</v>
      </c>
      <c r="O51" s="54">
        <f t="shared" si="0"/>
        <v>33111.700000000004</v>
      </c>
    </row>
    <row r="52" spans="1:15">
      <c r="A52" s="7"/>
      <c r="B52" s="6" t="s">
        <v>29</v>
      </c>
      <c r="C52" s="7">
        <v>13487.68</v>
      </c>
      <c r="D52" s="7">
        <v>6180.64</v>
      </c>
      <c r="E52" s="7">
        <v>8176.49</v>
      </c>
      <c r="F52" s="7">
        <v>6289.79</v>
      </c>
      <c r="G52" s="7">
        <v>215.5</v>
      </c>
      <c r="H52" s="7">
        <v>8482.2900000000009</v>
      </c>
      <c r="I52" s="7">
        <v>6031.58</v>
      </c>
      <c r="J52" s="7">
        <v>5511.45</v>
      </c>
      <c r="K52" s="7">
        <v>5723.25</v>
      </c>
      <c r="L52" s="7">
        <v>5130.8</v>
      </c>
      <c r="M52" s="7">
        <v>6007.19</v>
      </c>
      <c r="N52" s="7">
        <v>6170.97</v>
      </c>
      <c r="O52" s="53">
        <f t="shared" si="0"/>
        <v>77407.63</v>
      </c>
    </row>
    <row r="53" spans="1:15">
      <c r="A53" s="7"/>
      <c r="B53" s="6" t="s">
        <v>30</v>
      </c>
      <c r="C53" s="7">
        <v>4756.26</v>
      </c>
      <c r="D53" s="7">
        <v>4722.16</v>
      </c>
      <c r="E53" s="7">
        <v>1540.27</v>
      </c>
      <c r="F53" s="7">
        <v>784.29</v>
      </c>
      <c r="G53" s="7">
        <v>913.64</v>
      </c>
      <c r="H53" s="7">
        <v>784.16</v>
      </c>
      <c r="I53" s="7">
        <v>953.83</v>
      </c>
      <c r="J53" s="7">
        <v>580.27</v>
      </c>
      <c r="K53" s="7">
        <v>948.84</v>
      </c>
      <c r="L53" s="7">
        <v>771.89</v>
      </c>
      <c r="M53" s="7">
        <v>976.64</v>
      </c>
      <c r="N53" s="7">
        <v>1127.26</v>
      </c>
      <c r="O53" s="53">
        <f t="shared" si="0"/>
        <v>18859.509999999998</v>
      </c>
    </row>
    <row r="54" spans="1:15">
      <c r="A54" s="7"/>
      <c r="B54" s="6" t="s">
        <v>31</v>
      </c>
      <c r="C54" s="7">
        <v>48919.46</v>
      </c>
      <c r="D54" s="7">
        <v>49610.080000000002</v>
      </c>
      <c r="E54" s="7">
        <v>46091.71</v>
      </c>
      <c r="F54" s="7">
        <v>26.38</v>
      </c>
      <c r="G54" s="7">
        <v>52.12</v>
      </c>
      <c r="H54" s="7">
        <v>8.58</v>
      </c>
      <c r="I54" s="7">
        <v>16.420000000000002</v>
      </c>
      <c r="J54" s="7">
        <v>15.23</v>
      </c>
      <c r="K54" s="7">
        <v>4.1399999999999997</v>
      </c>
      <c r="L54" s="7">
        <v>5.87</v>
      </c>
      <c r="M54" s="7">
        <v>139.79</v>
      </c>
      <c r="N54" s="7">
        <v>245.04</v>
      </c>
      <c r="O54" s="53">
        <f t="shared" si="0"/>
        <v>145134.82000000004</v>
      </c>
    </row>
    <row r="55" spans="1:15">
      <c r="A55" s="7"/>
      <c r="B55" s="6" t="s">
        <v>32</v>
      </c>
      <c r="C55" s="7">
        <v>15578.68</v>
      </c>
      <c r="D55" s="7">
        <v>15550.87</v>
      </c>
      <c r="E55" s="7">
        <v>9362.43</v>
      </c>
      <c r="F55" s="7">
        <v>8066.9</v>
      </c>
      <c r="G55" s="7">
        <v>3632.05</v>
      </c>
      <c r="H55" s="7">
        <v>5997.08</v>
      </c>
      <c r="I55" s="7">
        <v>1150.31</v>
      </c>
      <c r="J55" s="7">
        <v>2163.0100000000002</v>
      </c>
      <c r="K55" s="7">
        <v>4330.97</v>
      </c>
      <c r="L55" s="7">
        <v>1775.16</v>
      </c>
      <c r="M55" s="7">
        <v>16465.740000000002</v>
      </c>
      <c r="N55" s="7">
        <v>16502.48</v>
      </c>
      <c r="O55" s="53">
        <f t="shared" si="0"/>
        <v>100575.68000000001</v>
      </c>
    </row>
    <row r="56" spans="1:15">
      <c r="A56" s="7"/>
      <c r="B56" s="6" t="s">
        <v>33</v>
      </c>
      <c r="C56" s="6" t="s">
        <v>45</v>
      </c>
      <c r="D56" s="6" t="s">
        <v>45</v>
      </c>
      <c r="E56" s="6" t="s">
        <v>45</v>
      </c>
      <c r="F56" s="6" t="s">
        <v>45</v>
      </c>
      <c r="G56" s="6" t="s">
        <v>45</v>
      </c>
      <c r="H56" s="6" t="s">
        <v>45</v>
      </c>
      <c r="I56" s="6" t="s">
        <v>45</v>
      </c>
      <c r="J56" s="6" t="s">
        <v>45</v>
      </c>
      <c r="K56" s="6" t="s">
        <v>45</v>
      </c>
      <c r="L56" s="6" t="s">
        <v>45</v>
      </c>
      <c r="M56" s="6" t="s">
        <v>45</v>
      </c>
      <c r="N56" s="6" t="s">
        <v>45</v>
      </c>
      <c r="O56" s="53">
        <f t="shared" si="0"/>
        <v>0</v>
      </c>
    </row>
    <row r="57" spans="1:15">
      <c r="A57" s="7"/>
      <c r="B57" s="6" t="s">
        <v>34</v>
      </c>
      <c r="C57" s="6" t="s">
        <v>45</v>
      </c>
      <c r="D57" s="6" t="s">
        <v>45</v>
      </c>
      <c r="E57" s="6" t="s">
        <v>45</v>
      </c>
      <c r="F57" s="6" t="s">
        <v>45</v>
      </c>
      <c r="G57" s="6" t="s">
        <v>45</v>
      </c>
      <c r="H57" s="6" t="s">
        <v>45</v>
      </c>
      <c r="I57" s="6" t="s">
        <v>45</v>
      </c>
      <c r="J57" s="6" t="s">
        <v>45</v>
      </c>
      <c r="K57" s="6" t="s">
        <v>45</v>
      </c>
      <c r="L57" s="6" t="s">
        <v>45</v>
      </c>
      <c r="M57" s="6" t="s">
        <v>45</v>
      </c>
      <c r="N57" s="6" t="s">
        <v>45</v>
      </c>
      <c r="O57" s="53">
        <f t="shared" si="0"/>
        <v>0</v>
      </c>
    </row>
    <row r="58" spans="1:15">
      <c r="A58" s="7"/>
      <c r="B58" s="6" t="s">
        <v>35</v>
      </c>
      <c r="C58" s="7">
        <v>1750.76</v>
      </c>
      <c r="D58" s="7">
        <v>1783.61</v>
      </c>
      <c r="E58" s="7">
        <v>978.83</v>
      </c>
      <c r="F58" s="7">
        <v>335.78</v>
      </c>
      <c r="G58" s="6">
        <v>80.98</v>
      </c>
      <c r="H58" s="6">
        <v>-41.19</v>
      </c>
      <c r="I58" s="6">
        <v>0.1</v>
      </c>
      <c r="J58" s="6">
        <v>0.13</v>
      </c>
      <c r="K58" s="6">
        <v>7.34</v>
      </c>
      <c r="L58" s="7">
        <v>118.33</v>
      </c>
      <c r="M58" s="7">
        <v>1703.74</v>
      </c>
      <c r="N58" s="7">
        <v>2116.5100000000002</v>
      </c>
      <c r="O58" s="53">
        <f t="shared" si="0"/>
        <v>8834.92</v>
      </c>
    </row>
    <row r="59" spans="1:15">
      <c r="A59" s="7"/>
      <c r="B59" s="6" t="s">
        <v>36</v>
      </c>
      <c r="C59" s="7">
        <v>22375.01</v>
      </c>
      <c r="D59" s="7">
        <v>20776.439999999999</v>
      </c>
      <c r="E59" s="7">
        <v>19958.23</v>
      </c>
      <c r="F59" s="7">
        <v>14647</v>
      </c>
      <c r="G59" s="7">
        <v>6050.83</v>
      </c>
      <c r="H59" s="7">
        <v>10542.54</v>
      </c>
      <c r="I59" s="7">
        <v>14770.55</v>
      </c>
      <c r="J59" s="7">
        <v>11529.65</v>
      </c>
      <c r="K59" s="7">
        <v>12934.86</v>
      </c>
      <c r="L59" s="7">
        <v>11362.99</v>
      </c>
      <c r="M59" s="7">
        <v>10443.92</v>
      </c>
      <c r="N59" s="7">
        <v>8484.58</v>
      </c>
      <c r="O59" s="53">
        <f t="shared" si="0"/>
        <v>163876.59999999998</v>
      </c>
    </row>
    <row r="60" spans="1:15">
      <c r="A60" s="7"/>
      <c r="B60" s="6" t="s">
        <v>37</v>
      </c>
      <c r="C60" s="6" t="s">
        <v>45</v>
      </c>
      <c r="D60" s="6" t="s">
        <v>45</v>
      </c>
      <c r="E60" s="6" t="s">
        <v>45</v>
      </c>
      <c r="F60" s="6" t="s">
        <v>45</v>
      </c>
      <c r="G60" s="6" t="s">
        <v>45</v>
      </c>
      <c r="H60" s="6" t="s">
        <v>45</v>
      </c>
      <c r="I60" s="6" t="s">
        <v>45</v>
      </c>
      <c r="J60" s="6" t="s">
        <v>45</v>
      </c>
      <c r="K60" s="6" t="s">
        <v>45</v>
      </c>
      <c r="L60" s="6" t="s">
        <v>45</v>
      </c>
      <c r="M60" s="6" t="s">
        <v>45</v>
      </c>
      <c r="N60" s="6" t="s">
        <v>45</v>
      </c>
      <c r="O60" s="53">
        <f t="shared" si="0"/>
        <v>0</v>
      </c>
    </row>
    <row r="61" spans="1:15">
      <c r="A61" s="7"/>
      <c r="B61" s="6" t="s">
        <v>38</v>
      </c>
      <c r="C61" s="7">
        <v>7549.81</v>
      </c>
      <c r="D61" s="7">
        <v>4761.6099999999997</v>
      </c>
      <c r="E61" s="7">
        <v>4285.28</v>
      </c>
      <c r="F61" s="7">
        <v>1756.27</v>
      </c>
      <c r="G61" s="7">
        <v>1472.69</v>
      </c>
      <c r="H61" s="7">
        <v>804.69</v>
      </c>
      <c r="I61" s="7">
        <v>527.72</v>
      </c>
      <c r="J61" s="7">
        <v>692.28</v>
      </c>
      <c r="K61" s="7">
        <v>635.96</v>
      </c>
      <c r="L61" s="7">
        <v>988.64</v>
      </c>
      <c r="M61" s="7">
        <v>2851.53</v>
      </c>
      <c r="N61" s="7">
        <v>4177.8999999999996</v>
      </c>
      <c r="O61" s="53">
        <f t="shared" si="0"/>
        <v>30504.379999999997</v>
      </c>
    </row>
    <row r="62" spans="1:15">
      <c r="A62" s="7"/>
      <c r="B62" s="6" t="s">
        <v>39</v>
      </c>
      <c r="C62" s="7">
        <v>7909.37</v>
      </c>
      <c r="D62" s="7">
        <v>8446.7199999999993</v>
      </c>
      <c r="E62" s="7">
        <v>8711.66</v>
      </c>
      <c r="F62" s="7">
        <v>5622.66</v>
      </c>
      <c r="G62" s="7">
        <v>5823.01</v>
      </c>
      <c r="H62" s="7">
        <v>5064.71</v>
      </c>
      <c r="I62" s="7">
        <v>5869.24</v>
      </c>
      <c r="J62" s="7">
        <v>6408.57</v>
      </c>
      <c r="K62" s="7">
        <v>6159.66</v>
      </c>
      <c r="L62" s="7">
        <v>5438.74</v>
      </c>
      <c r="M62" s="7">
        <v>5877.92</v>
      </c>
      <c r="N62" s="7">
        <v>7174.54</v>
      </c>
      <c r="O62" s="53">
        <f t="shared" si="0"/>
        <v>78506.799999999988</v>
      </c>
    </row>
    <row r="63" spans="1:15">
      <c r="A63" s="7"/>
      <c r="B63" s="6" t="s">
        <v>40</v>
      </c>
      <c r="C63" s="7">
        <v>5587.01</v>
      </c>
      <c r="D63" s="7">
        <v>6286.08</v>
      </c>
      <c r="E63" s="6" t="s">
        <v>45</v>
      </c>
      <c r="F63" s="6" t="s">
        <v>45</v>
      </c>
      <c r="G63" s="6" t="s">
        <v>45</v>
      </c>
      <c r="H63" s="6" t="s">
        <v>45</v>
      </c>
      <c r="I63" s="6" t="s">
        <v>45</v>
      </c>
      <c r="J63" s="6" t="s">
        <v>45</v>
      </c>
      <c r="K63" s="6" t="s">
        <v>45</v>
      </c>
      <c r="L63" s="6" t="s">
        <v>45</v>
      </c>
      <c r="M63" s="6" t="s">
        <v>45</v>
      </c>
      <c r="N63" s="6" t="s">
        <v>45</v>
      </c>
      <c r="O63" s="53">
        <f t="shared" si="0"/>
        <v>11873.09</v>
      </c>
    </row>
    <row r="64" spans="1:15">
      <c r="A64" s="7"/>
      <c r="B64" s="6" t="s">
        <v>41</v>
      </c>
      <c r="C64" s="7">
        <v>15483.37</v>
      </c>
      <c r="D64" s="7">
        <v>8710.5499999999993</v>
      </c>
      <c r="E64" s="7">
        <v>6776.39</v>
      </c>
      <c r="F64" s="7">
        <v>4653.32</v>
      </c>
      <c r="G64" s="7">
        <v>1769.77</v>
      </c>
      <c r="H64" s="7">
        <v>1465.44</v>
      </c>
      <c r="I64" s="7">
        <v>373.61</v>
      </c>
      <c r="J64" s="7">
        <v>351.62</v>
      </c>
      <c r="K64" s="7">
        <v>452.94</v>
      </c>
      <c r="L64" s="7">
        <v>651.85</v>
      </c>
      <c r="M64" s="7">
        <v>1948.94</v>
      </c>
      <c r="N64" s="7">
        <v>2508.34</v>
      </c>
      <c r="O64" s="53">
        <f t="shared" si="0"/>
        <v>45146.14</v>
      </c>
    </row>
    <row r="65" spans="1:15">
      <c r="A65" s="8"/>
      <c r="B65" s="9" t="s">
        <v>42</v>
      </c>
      <c r="C65" s="8">
        <v>171405.38</v>
      </c>
      <c r="D65" s="8">
        <v>147277.51</v>
      </c>
      <c r="E65" s="8">
        <v>122458.68</v>
      </c>
      <c r="F65" s="8">
        <v>59344.69</v>
      </c>
      <c r="G65" s="8">
        <v>32080.3</v>
      </c>
      <c r="H65" s="8">
        <v>39477.14</v>
      </c>
      <c r="I65" s="8">
        <v>36981.79</v>
      </c>
      <c r="J65" s="8">
        <v>33142.31</v>
      </c>
      <c r="K65" s="8">
        <v>37505</v>
      </c>
      <c r="L65" s="8">
        <v>34801.99</v>
      </c>
      <c r="M65" s="8">
        <v>60683.63</v>
      </c>
      <c r="N65" s="8">
        <v>64631.81</v>
      </c>
      <c r="O65" s="53">
        <f t="shared" si="0"/>
        <v>839790.23</v>
      </c>
    </row>
    <row r="66" spans="1:15">
      <c r="A66" s="7"/>
      <c r="B66" s="6"/>
      <c r="C66" s="7"/>
      <c r="D66" s="7"/>
      <c r="E66" s="7"/>
      <c r="F66" s="7"/>
      <c r="G66" s="7"/>
      <c r="H66" s="7"/>
      <c r="I66" s="7"/>
      <c r="J66" s="7"/>
      <c r="K66" s="7"/>
      <c r="L66" s="7"/>
      <c r="M66" s="7"/>
      <c r="N66" s="7"/>
      <c r="O66" s="53"/>
    </row>
    <row r="67" spans="1:15">
      <c r="A67" s="6" t="s">
        <v>46</v>
      </c>
      <c r="B67" s="6" t="s">
        <v>26</v>
      </c>
      <c r="C67" s="7">
        <v>46.5</v>
      </c>
      <c r="D67" s="7">
        <v>27</v>
      </c>
      <c r="E67" s="7">
        <v>0.9</v>
      </c>
      <c r="F67" s="7">
        <v>1.1000000000000001</v>
      </c>
      <c r="G67" s="7">
        <v>1.3</v>
      </c>
      <c r="H67" s="7">
        <v>1.4</v>
      </c>
      <c r="I67" s="7">
        <v>1.6</v>
      </c>
      <c r="J67" s="7">
        <v>1.4</v>
      </c>
      <c r="K67" s="7">
        <v>1.3</v>
      </c>
      <c r="L67" s="7">
        <v>1.7</v>
      </c>
      <c r="M67" s="7">
        <v>1.4</v>
      </c>
      <c r="N67" s="7">
        <v>1.1000000000000001</v>
      </c>
      <c r="O67" s="53">
        <f t="shared" si="0"/>
        <v>86.7</v>
      </c>
    </row>
    <row r="68" spans="1:15">
      <c r="A68" s="7"/>
      <c r="B68" s="6" t="s">
        <v>27</v>
      </c>
      <c r="C68" s="6" t="s">
        <v>45</v>
      </c>
      <c r="D68" s="6" t="s">
        <v>45</v>
      </c>
      <c r="E68" s="6" t="s">
        <v>45</v>
      </c>
      <c r="F68" s="6" t="s">
        <v>45</v>
      </c>
      <c r="G68" s="6" t="s">
        <v>45</v>
      </c>
      <c r="H68" s="6" t="s">
        <v>45</v>
      </c>
      <c r="I68" s="6" t="s">
        <v>45</v>
      </c>
      <c r="J68" s="6" t="s">
        <v>45</v>
      </c>
      <c r="K68" s="6" t="s">
        <v>45</v>
      </c>
      <c r="L68" s="6" t="s">
        <v>45</v>
      </c>
      <c r="M68" s="6" t="s">
        <v>45</v>
      </c>
      <c r="N68" s="6" t="s">
        <v>45</v>
      </c>
      <c r="O68" s="53">
        <f t="shared" si="0"/>
        <v>0</v>
      </c>
    </row>
    <row r="69" spans="1:15" s="1" customFormat="1">
      <c r="A69" s="8"/>
      <c r="B69" s="19" t="s">
        <v>28</v>
      </c>
      <c r="C69" s="20">
        <v>7791.9</v>
      </c>
      <c r="D69" s="20">
        <v>6797.37</v>
      </c>
      <c r="E69" s="20">
        <v>4845.57</v>
      </c>
      <c r="F69" s="20">
        <v>3204.04</v>
      </c>
      <c r="G69" s="20">
        <v>2520.41</v>
      </c>
      <c r="H69" s="20">
        <v>1663.98</v>
      </c>
      <c r="I69" s="20">
        <v>869.73</v>
      </c>
      <c r="J69" s="20">
        <v>1108.23</v>
      </c>
      <c r="K69" s="20">
        <v>2267.83</v>
      </c>
      <c r="L69" s="20">
        <v>2518.2800000000002</v>
      </c>
      <c r="M69" s="20">
        <v>3480.51</v>
      </c>
      <c r="N69" s="20">
        <v>4070.55</v>
      </c>
      <c r="O69" s="54">
        <f t="shared" si="0"/>
        <v>41138.400000000001</v>
      </c>
    </row>
    <row r="70" spans="1:15">
      <c r="A70" s="7"/>
      <c r="B70" s="6" t="s">
        <v>29</v>
      </c>
      <c r="C70" s="7">
        <v>554.29999999999995</v>
      </c>
      <c r="D70" s="7">
        <v>531.9</v>
      </c>
      <c r="E70" s="7">
        <v>430.4</v>
      </c>
      <c r="F70" s="7">
        <v>238.5</v>
      </c>
      <c r="G70" s="7">
        <v>176.7</v>
      </c>
      <c r="H70" s="7">
        <v>127.6</v>
      </c>
      <c r="I70" s="7">
        <v>117.6</v>
      </c>
      <c r="J70" s="7">
        <v>107.5</v>
      </c>
      <c r="K70" s="7">
        <v>114.7</v>
      </c>
      <c r="L70" s="7">
        <v>181.2</v>
      </c>
      <c r="M70" s="7">
        <v>412.1</v>
      </c>
      <c r="N70" s="7">
        <v>486.9</v>
      </c>
      <c r="O70" s="53">
        <f t="shared" si="0"/>
        <v>3479.3999999999996</v>
      </c>
    </row>
    <row r="71" spans="1:15">
      <c r="A71" s="7"/>
      <c r="B71" s="6" t="s">
        <v>30</v>
      </c>
      <c r="C71" s="6" t="s">
        <v>45</v>
      </c>
      <c r="D71" s="6" t="s">
        <v>45</v>
      </c>
      <c r="E71" s="6" t="s">
        <v>45</v>
      </c>
      <c r="F71" s="6" t="s">
        <v>45</v>
      </c>
      <c r="G71" s="6" t="s">
        <v>45</v>
      </c>
      <c r="H71" s="6" t="s">
        <v>45</v>
      </c>
      <c r="I71" s="6" t="s">
        <v>45</v>
      </c>
      <c r="J71" s="6" t="s">
        <v>45</v>
      </c>
      <c r="K71" s="6" t="s">
        <v>45</v>
      </c>
      <c r="L71" s="6" t="s">
        <v>45</v>
      </c>
      <c r="M71" s="6" t="s">
        <v>45</v>
      </c>
      <c r="N71" s="6" t="s">
        <v>45</v>
      </c>
      <c r="O71" s="53">
        <f t="shared" si="0"/>
        <v>0</v>
      </c>
    </row>
    <row r="72" spans="1:15">
      <c r="A72" s="7"/>
      <c r="B72" s="6" t="s">
        <v>31</v>
      </c>
      <c r="C72" s="7">
        <v>2823.99</v>
      </c>
      <c r="D72" s="7">
        <v>1863.52</v>
      </c>
      <c r="E72" s="7">
        <v>1637.18</v>
      </c>
      <c r="F72" s="7">
        <v>582.44000000000005</v>
      </c>
      <c r="G72" s="7">
        <v>563.36</v>
      </c>
      <c r="H72" s="7">
        <v>418.63</v>
      </c>
      <c r="I72" s="7">
        <v>189.72</v>
      </c>
      <c r="J72" s="7">
        <v>273.04000000000002</v>
      </c>
      <c r="K72" s="7">
        <v>371.29</v>
      </c>
      <c r="L72" s="7">
        <v>569.09</v>
      </c>
      <c r="M72" s="7">
        <v>994.95</v>
      </c>
      <c r="N72" s="7">
        <v>1517.15</v>
      </c>
      <c r="O72" s="53">
        <f t="shared" si="0"/>
        <v>11804.360000000002</v>
      </c>
    </row>
    <row r="73" spans="1:15">
      <c r="A73" s="7"/>
      <c r="B73" s="6" t="s">
        <v>32</v>
      </c>
      <c r="C73" s="6" t="s">
        <v>45</v>
      </c>
      <c r="D73" s="6" t="s">
        <v>45</v>
      </c>
      <c r="E73" s="6" t="s">
        <v>45</v>
      </c>
      <c r="F73" s="6" t="s">
        <v>45</v>
      </c>
      <c r="G73" s="6" t="s">
        <v>45</v>
      </c>
      <c r="H73" s="6" t="s">
        <v>45</v>
      </c>
      <c r="I73" s="6" t="s">
        <v>45</v>
      </c>
      <c r="J73" s="6" t="s">
        <v>45</v>
      </c>
      <c r="K73" s="6" t="s">
        <v>45</v>
      </c>
      <c r="L73" s="6" t="s">
        <v>45</v>
      </c>
      <c r="M73" s="6" t="s">
        <v>45</v>
      </c>
      <c r="N73" s="6" t="s">
        <v>45</v>
      </c>
      <c r="O73" s="53">
        <f t="shared" si="0"/>
        <v>0</v>
      </c>
    </row>
    <row r="74" spans="1:15">
      <c r="A74" s="7"/>
      <c r="B74" s="6" t="s">
        <v>33</v>
      </c>
      <c r="C74" s="6" t="s">
        <v>45</v>
      </c>
      <c r="D74" s="6" t="s">
        <v>45</v>
      </c>
      <c r="E74" s="6" t="s">
        <v>45</v>
      </c>
      <c r="F74" s="6" t="s">
        <v>45</v>
      </c>
      <c r="G74" s="6" t="s">
        <v>45</v>
      </c>
      <c r="H74" s="6" t="s">
        <v>45</v>
      </c>
      <c r="I74" s="6" t="s">
        <v>45</v>
      </c>
      <c r="J74" s="6" t="s">
        <v>45</v>
      </c>
      <c r="K74" s="6" t="s">
        <v>45</v>
      </c>
      <c r="L74" s="6" t="s">
        <v>45</v>
      </c>
      <c r="M74" s="6" t="s">
        <v>45</v>
      </c>
      <c r="N74" s="6" t="s">
        <v>45</v>
      </c>
      <c r="O74" s="53">
        <f t="shared" si="0"/>
        <v>0</v>
      </c>
    </row>
    <row r="75" spans="1:15">
      <c r="A75" s="7"/>
      <c r="B75" s="6" t="s">
        <v>34</v>
      </c>
      <c r="C75" s="6" t="s">
        <v>45</v>
      </c>
      <c r="D75" s="6" t="s">
        <v>45</v>
      </c>
      <c r="E75" s="6" t="s">
        <v>45</v>
      </c>
      <c r="F75" s="6" t="s">
        <v>45</v>
      </c>
      <c r="G75" s="6" t="s">
        <v>45</v>
      </c>
      <c r="H75" s="6" t="s">
        <v>45</v>
      </c>
      <c r="I75" s="6" t="s">
        <v>45</v>
      </c>
      <c r="J75" s="6" t="s">
        <v>45</v>
      </c>
      <c r="K75" s="6" t="s">
        <v>45</v>
      </c>
      <c r="L75" s="6" t="s">
        <v>45</v>
      </c>
      <c r="M75" s="6" t="s">
        <v>45</v>
      </c>
      <c r="N75" s="6" t="s">
        <v>45</v>
      </c>
      <c r="O75" s="53">
        <f t="shared" si="0"/>
        <v>0</v>
      </c>
    </row>
    <row r="76" spans="1:15">
      <c r="A76" s="7"/>
      <c r="B76" s="6" t="s">
        <v>35</v>
      </c>
      <c r="C76" s="6" t="s">
        <v>45</v>
      </c>
      <c r="D76" s="6" t="s">
        <v>45</v>
      </c>
      <c r="E76" s="6" t="s">
        <v>45</v>
      </c>
      <c r="F76" s="6" t="s">
        <v>45</v>
      </c>
      <c r="G76" s="6" t="s">
        <v>45</v>
      </c>
      <c r="H76" s="6" t="s">
        <v>45</v>
      </c>
      <c r="I76" s="6" t="s">
        <v>45</v>
      </c>
      <c r="J76" s="6" t="s">
        <v>45</v>
      </c>
      <c r="K76" s="6" t="s">
        <v>45</v>
      </c>
      <c r="L76" s="6" t="s">
        <v>45</v>
      </c>
      <c r="M76" s="6" t="s">
        <v>45</v>
      </c>
      <c r="N76" s="6" t="s">
        <v>45</v>
      </c>
      <c r="O76" s="53">
        <f t="shared" si="0"/>
        <v>0</v>
      </c>
    </row>
    <row r="77" spans="1:15">
      <c r="A77" s="7"/>
      <c r="B77" s="6" t="s">
        <v>36</v>
      </c>
      <c r="C77" s="7">
        <v>2108.6999999999998</v>
      </c>
      <c r="D77" s="7">
        <v>1844</v>
      </c>
      <c r="E77" s="7">
        <v>1777.2</v>
      </c>
      <c r="F77" s="7">
        <v>764.8</v>
      </c>
      <c r="G77" s="7">
        <v>714.7</v>
      </c>
      <c r="H77" s="7">
        <v>381.9</v>
      </c>
      <c r="I77" s="7">
        <v>348.6</v>
      </c>
      <c r="J77" s="7">
        <v>315.39999999999998</v>
      </c>
      <c r="K77" s="7">
        <v>343.1</v>
      </c>
      <c r="L77" s="7">
        <v>494.1</v>
      </c>
      <c r="M77" s="7">
        <v>1171.8</v>
      </c>
      <c r="N77" s="7">
        <v>1605.7</v>
      </c>
      <c r="O77" s="53">
        <f t="shared" si="0"/>
        <v>11870</v>
      </c>
    </row>
    <row r="78" spans="1:15">
      <c r="A78" s="7"/>
      <c r="B78" s="6" t="s">
        <v>37</v>
      </c>
      <c r="C78" s="6" t="s">
        <v>45</v>
      </c>
      <c r="D78" s="6" t="s">
        <v>45</v>
      </c>
      <c r="E78" s="6" t="s">
        <v>45</v>
      </c>
      <c r="F78" s="6" t="s">
        <v>45</v>
      </c>
      <c r="G78" s="6" t="s">
        <v>45</v>
      </c>
      <c r="H78" s="6" t="s">
        <v>45</v>
      </c>
      <c r="I78" s="6" t="s">
        <v>45</v>
      </c>
      <c r="J78" s="6" t="s">
        <v>45</v>
      </c>
      <c r="K78" s="6" t="s">
        <v>45</v>
      </c>
      <c r="L78" s="6" t="s">
        <v>45</v>
      </c>
      <c r="M78" s="6" t="s">
        <v>45</v>
      </c>
      <c r="N78" s="6" t="s">
        <v>45</v>
      </c>
      <c r="O78" s="53">
        <f t="shared" ref="O78:O137" si="1">SUM(C78:N78)</f>
        <v>0</v>
      </c>
    </row>
    <row r="79" spans="1:15">
      <c r="A79" s="7"/>
      <c r="B79" s="6" t="s">
        <v>38</v>
      </c>
      <c r="C79" s="7">
        <v>368.49</v>
      </c>
      <c r="D79" s="7">
        <v>376.26</v>
      </c>
      <c r="E79" s="7">
        <v>371.22</v>
      </c>
      <c r="F79" s="7">
        <v>184.13</v>
      </c>
      <c r="G79" s="7">
        <v>208.7</v>
      </c>
      <c r="H79" s="7">
        <v>61.15</v>
      </c>
      <c r="I79" s="7">
        <v>43.04</v>
      </c>
      <c r="J79" s="7">
        <v>34.880000000000003</v>
      </c>
      <c r="K79" s="7">
        <v>51.49</v>
      </c>
      <c r="L79" s="7">
        <v>78.31</v>
      </c>
      <c r="M79" s="7">
        <v>248.81</v>
      </c>
      <c r="N79" s="7">
        <v>316.68</v>
      </c>
      <c r="O79" s="53">
        <f t="shared" si="1"/>
        <v>2343.16</v>
      </c>
    </row>
    <row r="80" spans="1:15">
      <c r="A80" s="7"/>
      <c r="B80" s="6" t="s">
        <v>39</v>
      </c>
      <c r="C80" s="7">
        <v>462.24</v>
      </c>
      <c r="D80" s="7">
        <v>367.34</v>
      </c>
      <c r="E80" s="7">
        <v>196.2</v>
      </c>
      <c r="F80" s="7">
        <v>189.92</v>
      </c>
      <c r="G80" s="7">
        <v>138.26</v>
      </c>
      <c r="H80" s="7">
        <v>9.2899999999999991</v>
      </c>
      <c r="I80" s="7">
        <v>99.57</v>
      </c>
      <c r="J80" s="7">
        <v>69.98</v>
      </c>
      <c r="K80" s="7">
        <v>118.04</v>
      </c>
      <c r="L80" s="7">
        <v>201.14</v>
      </c>
      <c r="M80" s="7">
        <v>256.20999999999998</v>
      </c>
      <c r="N80" s="7">
        <v>318.42</v>
      </c>
      <c r="O80" s="53">
        <f t="shared" si="1"/>
        <v>2426.61</v>
      </c>
    </row>
    <row r="81" spans="1:15">
      <c r="A81" s="7"/>
      <c r="B81" s="6" t="s">
        <v>40</v>
      </c>
      <c r="C81" s="7">
        <v>161.6</v>
      </c>
      <c r="D81" s="7">
        <v>198.7</v>
      </c>
      <c r="E81" s="7">
        <v>216.5</v>
      </c>
      <c r="F81" s="7">
        <v>130.4</v>
      </c>
      <c r="G81" s="7">
        <v>134.69999999999999</v>
      </c>
      <c r="H81" s="7">
        <v>88.3</v>
      </c>
      <c r="I81" s="7">
        <v>6.1</v>
      </c>
      <c r="J81" s="7">
        <v>1.6</v>
      </c>
      <c r="K81" s="7">
        <v>292</v>
      </c>
      <c r="L81" s="7">
        <v>107.7</v>
      </c>
      <c r="M81" s="7">
        <v>142.6</v>
      </c>
      <c r="N81" s="7">
        <v>199.8</v>
      </c>
      <c r="O81" s="53">
        <f t="shared" si="1"/>
        <v>1679.9999999999998</v>
      </c>
    </row>
    <row r="82" spans="1:15">
      <c r="A82" s="7"/>
      <c r="B82" s="6" t="s">
        <v>41</v>
      </c>
      <c r="C82" s="7">
        <v>1244.81</v>
      </c>
      <c r="D82" s="7">
        <v>1399.54</v>
      </c>
      <c r="E82" s="7">
        <v>957.98</v>
      </c>
      <c r="F82" s="7">
        <v>531.6</v>
      </c>
      <c r="G82" s="7">
        <v>392.06</v>
      </c>
      <c r="H82" s="7">
        <v>225.83</v>
      </c>
      <c r="I82" s="7">
        <v>189.37</v>
      </c>
      <c r="J82" s="7">
        <v>178.6</v>
      </c>
      <c r="K82" s="7">
        <v>191.25</v>
      </c>
      <c r="L82" s="7">
        <v>389.05</v>
      </c>
      <c r="M82" s="7">
        <v>871.85</v>
      </c>
      <c r="N82" s="7">
        <v>1040.1600000000001</v>
      </c>
      <c r="O82" s="53">
        <f t="shared" si="1"/>
        <v>7612.1000000000013</v>
      </c>
    </row>
    <row r="83" spans="1:15">
      <c r="A83" s="8"/>
      <c r="B83" s="9" t="s">
        <v>42</v>
      </c>
      <c r="C83" s="8">
        <v>15562.53</v>
      </c>
      <c r="D83" s="8">
        <v>13405.63</v>
      </c>
      <c r="E83" s="8">
        <v>10433.15</v>
      </c>
      <c r="F83" s="8">
        <v>5826.93</v>
      </c>
      <c r="G83" s="8">
        <v>4850.1899999999996</v>
      </c>
      <c r="H83" s="8">
        <v>2978.08</v>
      </c>
      <c r="I83" s="8">
        <v>1865.33</v>
      </c>
      <c r="J83" s="8">
        <v>2090.63</v>
      </c>
      <c r="K83" s="8">
        <v>3751</v>
      </c>
      <c r="L83" s="8">
        <v>4540.57</v>
      </c>
      <c r="M83" s="8">
        <v>7580.23</v>
      </c>
      <c r="N83" s="8">
        <v>9556.4599999999991</v>
      </c>
      <c r="O83" s="53">
        <f t="shared" si="1"/>
        <v>82440.73000000001</v>
      </c>
    </row>
    <row r="84" spans="1:15">
      <c r="A84" s="7"/>
      <c r="B84" s="6"/>
      <c r="C84" s="7"/>
      <c r="D84" s="7"/>
      <c r="E84" s="7"/>
      <c r="F84" s="7"/>
      <c r="G84" s="7"/>
      <c r="H84" s="7"/>
      <c r="I84" s="7"/>
      <c r="J84" s="7"/>
      <c r="K84" s="7"/>
      <c r="L84" s="7"/>
      <c r="M84" s="7"/>
      <c r="N84" s="7"/>
      <c r="O84" s="53"/>
    </row>
    <row r="85" spans="1:15">
      <c r="A85" s="6" t="s">
        <v>47</v>
      </c>
      <c r="B85" s="6" t="s">
        <v>26</v>
      </c>
      <c r="C85" s="7">
        <v>13876</v>
      </c>
      <c r="D85" s="7">
        <v>15067</v>
      </c>
      <c r="E85" s="7">
        <v>13158</v>
      </c>
      <c r="F85" s="7">
        <v>11448</v>
      </c>
      <c r="G85" s="7">
        <v>9315</v>
      </c>
      <c r="H85" s="7">
        <v>8483</v>
      </c>
      <c r="I85" s="7">
        <v>8297</v>
      </c>
      <c r="J85" s="7">
        <v>8719</v>
      </c>
      <c r="K85" s="7">
        <v>8695</v>
      </c>
      <c r="L85" s="7">
        <v>8146</v>
      </c>
      <c r="M85" s="7">
        <v>20692</v>
      </c>
      <c r="N85" s="7">
        <v>11459</v>
      </c>
      <c r="O85" s="53">
        <f t="shared" si="1"/>
        <v>137355</v>
      </c>
    </row>
    <row r="86" spans="1:15">
      <c r="A86" s="7"/>
      <c r="B86" s="6" t="s">
        <v>27</v>
      </c>
      <c r="C86" s="7">
        <v>5644</v>
      </c>
      <c r="D86" s="7">
        <v>7597</v>
      </c>
      <c r="E86" s="7">
        <v>6752</v>
      </c>
      <c r="F86" s="7">
        <v>5340</v>
      </c>
      <c r="G86" s="7">
        <v>4893</v>
      </c>
      <c r="H86" s="7">
        <v>6264</v>
      </c>
      <c r="I86" s="7">
        <v>3670</v>
      </c>
      <c r="J86" s="7">
        <v>3373</v>
      </c>
      <c r="K86" s="7">
        <v>3856</v>
      </c>
      <c r="L86" s="7">
        <v>4039</v>
      </c>
      <c r="M86" s="7">
        <v>11262</v>
      </c>
      <c r="N86" s="7">
        <v>6685</v>
      </c>
      <c r="O86" s="53">
        <f t="shared" si="1"/>
        <v>69375</v>
      </c>
    </row>
    <row r="87" spans="1:15" s="1" customFormat="1">
      <c r="A87" s="8"/>
      <c r="B87" s="19" t="s">
        <v>28</v>
      </c>
      <c r="C87" s="20">
        <v>15492</v>
      </c>
      <c r="D87" s="20">
        <v>22866</v>
      </c>
      <c r="E87" s="20">
        <v>20625</v>
      </c>
      <c r="F87" s="20">
        <v>23647</v>
      </c>
      <c r="G87" s="20">
        <v>34271</v>
      </c>
      <c r="H87" s="20">
        <v>61028</v>
      </c>
      <c r="I87" s="20">
        <v>56387</v>
      </c>
      <c r="J87" s="20">
        <v>38610</v>
      </c>
      <c r="K87" s="20">
        <v>59428</v>
      </c>
      <c r="L87" s="20">
        <v>73597</v>
      </c>
      <c r="M87" s="20">
        <v>87618</v>
      </c>
      <c r="N87" s="20">
        <v>57415</v>
      </c>
      <c r="O87" s="54">
        <f t="shared" si="1"/>
        <v>550984</v>
      </c>
    </row>
    <row r="88" spans="1:15">
      <c r="A88" s="7"/>
      <c r="B88" s="6" t="s">
        <v>29</v>
      </c>
      <c r="C88" s="7">
        <v>37534</v>
      </c>
      <c r="D88" s="7">
        <v>39076</v>
      </c>
      <c r="E88" s="7">
        <v>45065</v>
      </c>
      <c r="F88" s="7">
        <v>39408</v>
      </c>
      <c r="G88" s="7">
        <v>38875</v>
      </c>
      <c r="H88" s="7">
        <v>39130</v>
      </c>
      <c r="I88" s="7">
        <v>38713</v>
      </c>
      <c r="J88" s="7">
        <v>31581</v>
      </c>
      <c r="K88" s="7">
        <v>36252</v>
      </c>
      <c r="L88" s="7">
        <v>33012</v>
      </c>
      <c r="M88" s="7">
        <v>73290</v>
      </c>
      <c r="N88" s="7">
        <v>39299</v>
      </c>
      <c r="O88" s="53">
        <f t="shared" si="1"/>
        <v>491235</v>
      </c>
    </row>
    <row r="89" spans="1:15">
      <c r="A89" s="7"/>
      <c r="B89" s="6" t="s">
        <v>30</v>
      </c>
      <c r="C89" s="6" t="s">
        <v>45</v>
      </c>
      <c r="D89" s="6" t="s">
        <v>45</v>
      </c>
      <c r="E89" s="6">
        <v>2635</v>
      </c>
      <c r="F89" s="6">
        <v>2199</v>
      </c>
      <c r="G89" s="6">
        <v>1893</v>
      </c>
      <c r="H89" s="6">
        <v>1325</v>
      </c>
      <c r="I89" s="6">
        <v>1363</v>
      </c>
      <c r="J89" s="6">
        <v>1089</v>
      </c>
      <c r="K89" s="6">
        <v>1181</v>
      </c>
      <c r="L89" s="6">
        <v>1415</v>
      </c>
      <c r="M89" s="6">
        <v>4516</v>
      </c>
      <c r="N89" s="6">
        <v>2544</v>
      </c>
      <c r="O89" s="53">
        <f t="shared" si="1"/>
        <v>20160</v>
      </c>
    </row>
    <row r="90" spans="1:15">
      <c r="A90" s="7"/>
      <c r="B90" s="6" t="s">
        <v>31</v>
      </c>
      <c r="C90" s="6">
        <v>4599</v>
      </c>
      <c r="D90" s="6">
        <v>4873</v>
      </c>
      <c r="E90" s="6">
        <v>4047</v>
      </c>
      <c r="F90" s="6">
        <v>48312</v>
      </c>
      <c r="G90" s="6">
        <v>46150</v>
      </c>
      <c r="H90" s="6">
        <v>46230</v>
      </c>
      <c r="I90" s="6">
        <v>45002</v>
      </c>
      <c r="J90" s="6">
        <v>46459</v>
      </c>
      <c r="K90" s="6">
        <v>47272</v>
      </c>
      <c r="L90" s="6">
        <v>46451</v>
      </c>
      <c r="M90" s="6">
        <v>99084</v>
      </c>
      <c r="N90" s="6">
        <v>49237</v>
      </c>
      <c r="O90" s="53">
        <f t="shared" si="1"/>
        <v>487716</v>
      </c>
    </row>
    <row r="91" spans="1:15">
      <c r="A91" s="7"/>
      <c r="B91" s="6" t="s">
        <v>32</v>
      </c>
      <c r="C91" s="7">
        <v>26588</v>
      </c>
      <c r="D91" s="7">
        <v>28684</v>
      </c>
      <c r="E91" s="7">
        <v>31235</v>
      </c>
      <c r="F91" s="7">
        <v>16072</v>
      </c>
      <c r="G91" s="7">
        <v>17908</v>
      </c>
      <c r="H91" s="7">
        <v>10874</v>
      </c>
      <c r="I91" s="7">
        <v>12690</v>
      </c>
      <c r="J91" s="7">
        <v>10443</v>
      </c>
      <c r="K91" s="7">
        <v>12188</v>
      </c>
      <c r="L91" s="7">
        <v>13501</v>
      </c>
      <c r="M91" s="7">
        <v>43690</v>
      </c>
      <c r="N91" s="7">
        <v>29249</v>
      </c>
      <c r="O91" s="53">
        <f t="shared" si="1"/>
        <v>253122</v>
      </c>
    </row>
    <row r="92" spans="1:15">
      <c r="A92" s="7"/>
      <c r="B92" s="6" t="s">
        <v>33</v>
      </c>
      <c r="C92" s="6" t="s">
        <v>45</v>
      </c>
      <c r="D92" s="6" t="s">
        <v>45</v>
      </c>
      <c r="E92" s="6" t="s">
        <v>45</v>
      </c>
      <c r="F92" s="6" t="s">
        <v>45</v>
      </c>
      <c r="G92" s="6" t="s">
        <v>45</v>
      </c>
      <c r="H92" s="6" t="s">
        <v>45</v>
      </c>
      <c r="I92" s="6" t="s">
        <v>45</v>
      </c>
      <c r="J92" s="6" t="s">
        <v>45</v>
      </c>
      <c r="K92" s="6" t="s">
        <v>45</v>
      </c>
      <c r="L92" s="6" t="s">
        <v>45</v>
      </c>
      <c r="M92" s="6" t="s">
        <v>45</v>
      </c>
      <c r="N92" s="6" t="s">
        <v>45</v>
      </c>
      <c r="O92" s="53">
        <f t="shared" si="1"/>
        <v>0</v>
      </c>
    </row>
    <row r="93" spans="1:15">
      <c r="A93" s="7"/>
      <c r="B93" s="6" t="s">
        <v>34</v>
      </c>
      <c r="C93" s="6" t="s">
        <v>45</v>
      </c>
      <c r="D93" s="6" t="s">
        <v>45</v>
      </c>
      <c r="E93" s="6" t="s">
        <v>45</v>
      </c>
      <c r="F93" s="6" t="s">
        <v>45</v>
      </c>
      <c r="G93" s="6" t="s">
        <v>45</v>
      </c>
      <c r="H93" s="6" t="s">
        <v>45</v>
      </c>
      <c r="I93" s="6" t="s">
        <v>45</v>
      </c>
      <c r="J93" s="6" t="s">
        <v>45</v>
      </c>
      <c r="K93" s="6" t="s">
        <v>45</v>
      </c>
      <c r="L93" s="6" t="s">
        <v>45</v>
      </c>
      <c r="M93" s="6" t="s">
        <v>45</v>
      </c>
      <c r="N93" s="6" t="s">
        <v>45</v>
      </c>
      <c r="O93" s="53">
        <f t="shared" si="1"/>
        <v>0</v>
      </c>
    </row>
    <row r="94" spans="1:15">
      <c r="A94" s="7"/>
      <c r="B94" s="6" t="s">
        <v>35</v>
      </c>
      <c r="C94" s="6" t="s">
        <v>45</v>
      </c>
      <c r="D94" s="6" t="s">
        <v>45</v>
      </c>
      <c r="E94" s="6" t="s">
        <v>45</v>
      </c>
      <c r="F94" s="6" t="s">
        <v>45</v>
      </c>
      <c r="G94" s="6" t="s">
        <v>45</v>
      </c>
      <c r="H94" s="6" t="s">
        <v>45</v>
      </c>
      <c r="I94" s="6" t="s">
        <v>45</v>
      </c>
      <c r="J94" s="6" t="s">
        <v>45</v>
      </c>
      <c r="K94" s="6" t="s">
        <v>45</v>
      </c>
      <c r="L94" s="6" t="s">
        <v>45</v>
      </c>
      <c r="M94" s="6" t="s">
        <v>45</v>
      </c>
      <c r="N94" s="6" t="s">
        <v>45</v>
      </c>
      <c r="O94" s="53">
        <f t="shared" si="1"/>
        <v>0</v>
      </c>
    </row>
    <row r="95" spans="1:15">
      <c r="A95" s="7"/>
      <c r="B95" s="6" t="s">
        <v>36</v>
      </c>
      <c r="C95" s="7">
        <v>10001</v>
      </c>
      <c r="D95" s="7">
        <v>10432</v>
      </c>
      <c r="E95" s="7">
        <v>9598</v>
      </c>
      <c r="F95" s="7">
        <v>7089</v>
      </c>
      <c r="G95" s="7">
        <v>7028</v>
      </c>
      <c r="H95" s="7">
        <v>4445</v>
      </c>
      <c r="I95" s="7">
        <v>3493</v>
      </c>
      <c r="J95" s="7">
        <v>3392</v>
      </c>
      <c r="K95" s="7">
        <v>3519</v>
      </c>
      <c r="L95" s="7">
        <v>3529</v>
      </c>
      <c r="M95" s="7">
        <v>19210.759999999998</v>
      </c>
      <c r="N95" s="7">
        <v>21549</v>
      </c>
      <c r="O95" s="53">
        <f t="shared" si="1"/>
        <v>103285.75999999999</v>
      </c>
    </row>
    <row r="96" spans="1:15">
      <c r="A96" s="7"/>
      <c r="B96" s="6" t="s">
        <v>37</v>
      </c>
      <c r="C96" s="6" t="s">
        <v>45</v>
      </c>
      <c r="D96" s="6" t="s">
        <v>45</v>
      </c>
      <c r="E96" s="6" t="s">
        <v>45</v>
      </c>
      <c r="F96" s="6" t="s">
        <v>45</v>
      </c>
      <c r="G96" s="6" t="s">
        <v>45</v>
      </c>
      <c r="H96" s="6" t="s">
        <v>45</v>
      </c>
      <c r="I96" s="6" t="s">
        <v>45</v>
      </c>
      <c r="J96" s="6" t="s">
        <v>45</v>
      </c>
      <c r="K96" s="6" t="s">
        <v>45</v>
      </c>
      <c r="L96" s="6" t="s">
        <v>45</v>
      </c>
      <c r="M96" s="6" t="s">
        <v>45</v>
      </c>
      <c r="N96" s="6" t="s">
        <v>45</v>
      </c>
      <c r="O96" s="53">
        <f t="shared" si="1"/>
        <v>0</v>
      </c>
    </row>
    <row r="97" spans="1:15">
      <c r="A97" s="7"/>
      <c r="B97" s="6" t="s">
        <v>38</v>
      </c>
      <c r="C97" s="7">
        <v>28396</v>
      </c>
      <c r="D97" s="7">
        <v>47671</v>
      </c>
      <c r="E97" s="7">
        <v>46564</v>
      </c>
      <c r="F97" s="7">
        <v>43871</v>
      </c>
      <c r="G97" s="7">
        <v>40790</v>
      </c>
      <c r="H97" s="7">
        <v>39753</v>
      </c>
      <c r="I97" s="7">
        <v>37307</v>
      </c>
      <c r="J97" s="7">
        <v>33834</v>
      </c>
      <c r="K97" s="7">
        <v>38568</v>
      </c>
      <c r="L97" s="7">
        <v>32600</v>
      </c>
      <c r="M97" s="7">
        <v>50427</v>
      </c>
      <c r="N97" s="7">
        <v>41207</v>
      </c>
      <c r="O97" s="53">
        <f t="shared" si="1"/>
        <v>480988</v>
      </c>
    </row>
    <row r="98" spans="1:15">
      <c r="A98" s="7"/>
      <c r="B98" s="6" t="s">
        <v>39</v>
      </c>
      <c r="C98" s="7">
        <v>28090</v>
      </c>
      <c r="D98" s="7">
        <v>32153</v>
      </c>
      <c r="E98" s="7">
        <v>35235</v>
      </c>
      <c r="F98" s="7">
        <v>27012</v>
      </c>
      <c r="G98" s="7">
        <v>23342</v>
      </c>
      <c r="H98" s="7">
        <v>19586</v>
      </c>
      <c r="I98" s="7">
        <v>19700</v>
      </c>
      <c r="J98" s="7">
        <v>16941</v>
      </c>
      <c r="K98" s="7">
        <v>19628</v>
      </c>
      <c r="L98" s="7">
        <v>18118</v>
      </c>
      <c r="M98" s="7">
        <v>35094</v>
      </c>
      <c r="N98" s="7">
        <v>32648</v>
      </c>
      <c r="O98" s="53">
        <f t="shared" si="1"/>
        <v>307547</v>
      </c>
    </row>
    <row r="99" spans="1:15">
      <c r="A99" s="7"/>
      <c r="B99" s="6" t="s">
        <v>40</v>
      </c>
      <c r="C99" s="6" t="s">
        <v>45</v>
      </c>
      <c r="D99" s="6" t="s">
        <v>45</v>
      </c>
      <c r="E99" s="6">
        <v>4405</v>
      </c>
      <c r="F99" s="6">
        <v>3600</v>
      </c>
      <c r="G99" s="6">
        <v>3211</v>
      </c>
      <c r="H99" s="6">
        <v>2457</v>
      </c>
      <c r="I99" s="6">
        <v>5200</v>
      </c>
      <c r="J99" s="6">
        <v>5817</v>
      </c>
      <c r="K99" s="6">
        <v>4207</v>
      </c>
      <c r="L99" s="6">
        <v>3346</v>
      </c>
      <c r="M99" s="6">
        <v>10550</v>
      </c>
      <c r="N99" s="6">
        <v>4672</v>
      </c>
      <c r="O99" s="53">
        <f t="shared" si="1"/>
        <v>47465</v>
      </c>
    </row>
    <row r="100" spans="1:15">
      <c r="A100" s="7"/>
      <c r="B100" s="6" t="s">
        <v>41</v>
      </c>
      <c r="C100" s="6">
        <v>25249</v>
      </c>
      <c r="D100" s="6">
        <v>36076</v>
      </c>
      <c r="E100" s="6">
        <v>38245</v>
      </c>
      <c r="F100" s="6">
        <v>39553</v>
      </c>
      <c r="G100" s="7">
        <v>34657</v>
      </c>
      <c r="H100" s="7">
        <v>39897</v>
      </c>
      <c r="I100" s="7">
        <v>40304</v>
      </c>
      <c r="J100" s="7">
        <v>35019</v>
      </c>
      <c r="K100" s="7">
        <v>31896</v>
      </c>
      <c r="L100" s="7">
        <v>25153</v>
      </c>
      <c r="M100" s="7">
        <v>54287</v>
      </c>
      <c r="N100" s="7">
        <v>27062</v>
      </c>
      <c r="O100" s="53">
        <f t="shared" si="1"/>
        <v>427398</v>
      </c>
    </row>
    <row r="101" spans="1:15">
      <c r="A101" s="8"/>
      <c r="B101" s="9" t="s">
        <v>42</v>
      </c>
      <c r="C101" s="8">
        <v>195469</v>
      </c>
      <c r="D101" s="8">
        <v>244495</v>
      </c>
      <c r="E101" s="8">
        <v>257564</v>
      </c>
      <c r="F101" s="8">
        <v>267551</v>
      </c>
      <c r="G101" s="8">
        <v>262333</v>
      </c>
      <c r="H101" s="8">
        <v>279472</v>
      </c>
      <c r="I101" s="8">
        <v>272126</v>
      </c>
      <c r="J101" s="8">
        <v>235277</v>
      </c>
      <c r="K101" s="8">
        <v>266690</v>
      </c>
      <c r="L101" s="8">
        <v>262907</v>
      </c>
      <c r="M101" s="8">
        <v>509720.76</v>
      </c>
      <c r="N101" s="8">
        <v>323026</v>
      </c>
      <c r="O101" s="53">
        <f t="shared" si="1"/>
        <v>3376630.76</v>
      </c>
    </row>
    <row r="102" spans="1:15">
      <c r="A102" s="7"/>
      <c r="B102" s="6"/>
      <c r="C102" s="7"/>
      <c r="D102" s="7"/>
      <c r="E102" s="7"/>
      <c r="F102" s="7"/>
      <c r="G102" s="7"/>
      <c r="H102" s="7"/>
      <c r="I102" s="7"/>
      <c r="J102" s="7"/>
      <c r="K102" s="7"/>
      <c r="L102" s="7"/>
      <c r="M102" s="7"/>
      <c r="N102" s="7"/>
      <c r="O102" s="53"/>
    </row>
    <row r="103" spans="1:15">
      <c r="A103" s="6" t="s">
        <v>48</v>
      </c>
      <c r="B103" s="6" t="s">
        <v>26</v>
      </c>
      <c r="C103" s="7">
        <v>128.16999999999999</v>
      </c>
      <c r="D103" s="7">
        <v>119.67</v>
      </c>
      <c r="E103" s="7">
        <v>103.38</v>
      </c>
      <c r="F103" s="7">
        <v>79.11</v>
      </c>
      <c r="G103" s="7">
        <v>60.12</v>
      </c>
      <c r="H103" s="7">
        <v>29.88</v>
      </c>
      <c r="I103" s="7">
        <v>43.74</v>
      </c>
      <c r="J103" s="7">
        <v>53.3</v>
      </c>
      <c r="K103" s="7">
        <v>58</v>
      </c>
      <c r="L103" s="7">
        <v>75.760000000000005</v>
      </c>
      <c r="M103" s="7">
        <v>118.65</v>
      </c>
      <c r="N103" s="7">
        <v>133.24</v>
      </c>
      <c r="O103" s="53">
        <f t="shared" si="1"/>
        <v>1003.02</v>
      </c>
    </row>
    <row r="104" spans="1:15">
      <c r="A104" s="7"/>
      <c r="B104" s="6" t="s">
        <v>27</v>
      </c>
      <c r="C104" s="7">
        <v>42.12</v>
      </c>
      <c r="D104" s="7">
        <v>34.6</v>
      </c>
      <c r="E104" s="7">
        <v>34.81</v>
      </c>
      <c r="F104" s="7">
        <v>21.92</v>
      </c>
      <c r="G104" s="7">
        <v>15.47</v>
      </c>
      <c r="H104" s="7">
        <v>12.68</v>
      </c>
      <c r="I104" s="7">
        <v>9.01</v>
      </c>
      <c r="J104" s="7">
        <v>9.17</v>
      </c>
      <c r="K104" s="7">
        <v>9.34</v>
      </c>
      <c r="L104" s="7">
        <v>13.85</v>
      </c>
      <c r="M104" s="7">
        <v>28.69</v>
      </c>
      <c r="N104" s="7">
        <v>42.37</v>
      </c>
      <c r="O104" s="53">
        <f t="shared" si="1"/>
        <v>274.02999999999997</v>
      </c>
    </row>
    <row r="105" spans="1:15" s="1" customFormat="1">
      <c r="A105" s="8"/>
      <c r="B105" s="19" t="s">
        <v>28</v>
      </c>
      <c r="C105" s="19" t="s">
        <v>45</v>
      </c>
      <c r="D105" s="19" t="s">
        <v>45</v>
      </c>
      <c r="E105" s="19" t="s">
        <v>45</v>
      </c>
      <c r="F105" s="19" t="s">
        <v>45</v>
      </c>
      <c r="G105" s="19" t="s">
        <v>45</v>
      </c>
      <c r="H105" s="19" t="s">
        <v>45</v>
      </c>
      <c r="I105" s="19" t="s">
        <v>45</v>
      </c>
      <c r="J105" s="19" t="s">
        <v>45</v>
      </c>
      <c r="K105" s="19" t="s">
        <v>45</v>
      </c>
      <c r="L105" s="19" t="s">
        <v>45</v>
      </c>
      <c r="M105" s="19" t="s">
        <v>45</v>
      </c>
      <c r="N105" s="19" t="s">
        <v>45</v>
      </c>
      <c r="O105" s="54">
        <f t="shared" si="1"/>
        <v>0</v>
      </c>
    </row>
    <row r="106" spans="1:15">
      <c r="A106" s="7"/>
      <c r="B106" s="6" t="s">
        <v>29</v>
      </c>
      <c r="C106" s="7">
        <v>169.42</v>
      </c>
      <c r="D106" s="7">
        <v>162.02000000000001</v>
      </c>
      <c r="E106" s="7">
        <v>159.69999999999999</v>
      </c>
      <c r="F106" s="7">
        <v>131.69</v>
      </c>
      <c r="G106" s="7">
        <v>115.09</v>
      </c>
      <c r="H106" s="7">
        <v>83.46</v>
      </c>
      <c r="I106" s="7">
        <v>24.87</v>
      </c>
      <c r="J106" s="7">
        <v>17.670000000000002</v>
      </c>
      <c r="K106" s="6">
        <v>15.4</v>
      </c>
      <c r="L106" s="7">
        <v>23.77</v>
      </c>
      <c r="M106" s="7">
        <v>88.51</v>
      </c>
      <c r="N106" s="7">
        <v>112.12</v>
      </c>
      <c r="O106" s="53">
        <f t="shared" si="1"/>
        <v>1103.7199999999998</v>
      </c>
    </row>
    <row r="107" spans="1:15">
      <c r="A107" s="7"/>
      <c r="B107" s="6" t="s">
        <v>30</v>
      </c>
      <c r="C107" s="7">
        <v>44.25</v>
      </c>
      <c r="D107" s="7">
        <v>37.01</v>
      </c>
      <c r="E107" s="7">
        <v>33.39</v>
      </c>
      <c r="F107" s="7">
        <v>21.72</v>
      </c>
      <c r="G107" s="6" t="s">
        <v>45</v>
      </c>
      <c r="H107" s="7">
        <v>28.56</v>
      </c>
      <c r="I107" s="7">
        <v>15.89</v>
      </c>
      <c r="J107" s="7">
        <v>19.91</v>
      </c>
      <c r="K107" s="7">
        <v>18.71</v>
      </c>
      <c r="L107" s="7">
        <v>18.309999999999999</v>
      </c>
      <c r="M107" s="7">
        <v>27.56</v>
      </c>
      <c r="N107" s="7">
        <v>39.630000000000003</v>
      </c>
      <c r="O107" s="53">
        <f t="shared" si="1"/>
        <v>304.94</v>
      </c>
    </row>
    <row r="108" spans="1:15">
      <c r="A108" s="7"/>
      <c r="B108" s="6" t="s">
        <v>31</v>
      </c>
      <c r="C108" s="7">
        <v>345.61</v>
      </c>
      <c r="D108" s="7">
        <v>280.75</v>
      </c>
      <c r="E108" s="7">
        <v>298.25</v>
      </c>
      <c r="F108" s="7">
        <v>246.78</v>
      </c>
      <c r="G108" s="7">
        <v>226.53</v>
      </c>
      <c r="H108" s="7">
        <v>14.58</v>
      </c>
      <c r="I108" s="6" t="s">
        <v>45</v>
      </c>
      <c r="J108" s="6" t="s">
        <v>45</v>
      </c>
      <c r="K108" s="6" t="s">
        <v>45</v>
      </c>
      <c r="L108" s="6" t="s">
        <v>45</v>
      </c>
      <c r="M108" s="7">
        <v>77.02</v>
      </c>
      <c r="N108" s="7">
        <v>223.77</v>
      </c>
      <c r="O108" s="53">
        <f t="shared" si="1"/>
        <v>1713.29</v>
      </c>
    </row>
    <row r="109" spans="1:15">
      <c r="A109" s="7"/>
      <c r="B109" s="6" t="s">
        <v>32</v>
      </c>
      <c r="C109" s="7">
        <v>81.599999999999994</v>
      </c>
      <c r="D109" s="6">
        <v>72.3</v>
      </c>
      <c r="E109" s="7">
        <v>85.34</v>
      </c>
      <c r="F109" s="7">
        <v>376.82</v>
      </c>
      <c r="G109" s="7">
        <v>759.8</v>
      </c>
      <c r="H109" s="7">
        <v>535.57000000000005</v>
      </c>
      <c r="I109" s="7">
        <v>553.54</v>
      </c>
      <c r="J109" s="7">
        <v>724.44</v>
      </c>
      <c r="K109" s="7">
        <v>658.09</v>
      </c>
      <c r="L109" s="7">
        <v>763.6</v>
      </c>
      <c r="M109" s="7">
        <v>371.69</v>
      </c>
      <c r="N109" s="7">
        <v>314.95999999999998</v>
      </c>
      <c r="O109" s="53">
        <f t="shared" si="1"/>
        <v>5297.75</v>
      </c>
    </row>
    <row r="110" spans="1:15">
      <c r="A110" s="7"/>
      <c r="B110" s="6" t="s">
        <v>33</v>
      </c>
      <c r="C110" s="6" t="s">
        <v>45</v>
      </c>
      <c r="D110" s="6" t="s">
        <v>45</v>
      </c>
      <c r="E110" s="6" t="s">
        <v>45</v>
      </c>
      <c r="F110" s="6" t="s">
        <v>45</v>
      </c>
      <c r="G110" s="6" t="s">
        <v>45</v>
      </c>
      <c r="H110" s="6" t="s">
        <v>45</v>
      </c>
      <c r="I110" s="6" t="s">
        <v>45</v>
      </c>
      <c r="J110" s="6" t="s">
        <v>45</v>
      </c>
      <c r="K110" s="6" t="s">
        <v>45</v>
      </c>
      <c r="L110" s="6" t="s">
        <v>45</v>
      </c>
      <c r="M110" s="6" t="s">
        <v>45</v>
      </c>
      <c r="N110" s="6" t="s">
        <v>45</v>
      </c>
      <c r="O110" s="53">
        <f t="shared" si="1"/>
        <v>0</v>
      </c>
    </row>
    <row r="111" spans="1:15">
      <c r="A111" s="7"/>
      <c r="B111" s="6" t="s">
        <v>34</v>
      </c>
      <c r="C111" s="7">
        <v>103.1</v>
      </c>
      <c r="D111" s="7">
        <v>90.4</v>
      </c>
      <c r="E111" s="7">
        <v>70.5</v>
      </c>
      <c r="F111" s="7">
        <v>51.3</v>
      </c>
      <c r="G111" s="6">
        <v>12.8</v>
      </c>
      <c r="H111" s="6" t="s">
        <v>45</v>
      </c>
      <c r="I111" s="6" t="s">
        <v>45</v>
      </c>
      <c r="J111" s="6" t="s">
        <v>45</v>
      </c>
      <c r="K111" s="6" t="s">
        <v>45</v>
      </c>
      <c r="L111" s="6" t="s">
        <v>45</v>
      </c>
      <c r="M111" s="7">
        <v>38.700000000000003</v>
      </c>
      <c r="N111" s="7">
        <v>75.099999999999994</v>
      </c>
      <c r="O111" s="53">
        <f t="shared" si="1"/>
        <v>441.9</v>
      </c>
    </row>
    <row r="112" spans="1:15">
      <c r="A112" s="7"/>
      <c r="B112" s="6" t="s">
        <v>35</v>
      </c>
      <c r="C112" s="6" t="s">
        <v>45</v>
      </c>
      <c r="D112" s="6" t="s">
        <v>45</v>
      </c>
      <c r="E112" s="6" t="s">
        <v>45</v>
      </c>
      <c r="F112" s="6" t="s">
        <v>45</v>
      </c>
      <c r="G112" s="6" t="s">
        <v>45</v>
      </c>
      <c r="H112" s="6" t="s">
        <v>45</v>
      </c>
      <c r="I112" s="6">
        <v>7.49</v>
      </c>
      <c r="J112" s="6">
        <v>43.2</v>
      </c>
      <c r="K112" s="6">
        <v>23.85</v>
      </c>
      <c r="L112" s="6">
        <v>21.19</v>
      </c>
      <c r="M112" s="6">
        <v>23.35</v>
      </c>
      <c r="N112" s="6">
        <v>20.18</v>
      </c>
      <c r="O112" s="53">
        <f t="shared" si="1"/>
        <v>139.26000000000002</v>
      </c>
    </row>
    <row r="113" spans="1:15">
      <c r="A113" s="7"/>
      <c r="B113" s="6" t="s">
        <v>36</v>
      </c>
      <c r="C113" s="7">
        <v>138.31</v>
      </c>
      <c r="D113" s="7">
        <v>123.2</v>
      </c>
      <c r="E113" s="7">
        <v>118.96</v>
      </c>
      <c r="F113" s="7">
        <v>85.81</v>
      </c>
      <c r="G113" s="7">
        <v>56.49</v>
      </c>
      <c r="H113" s="7">
        <v>41.54</v>
      </c>
      <c r="I113" s="7">
        <v>23.37</v>
      </c>
      <c r="J113" s="6" t="s">
        <v>45</v>
      </c>
      <c r="K113" s="6" t="s">
        <v>45</v>
      </c>
      <c r="L113" s="6" t="s">
        <v>45</v>
      </c>
      <c r="M113" s="7">
        <v>24.35</v>
      </c>
      <c r="N113" s="7">
        <v>61.22</v>
      </c>
      <c r="O113" s="53">
        <f t="shared" si="1"/>
        <v>673.25</v>
      </c>
    </row>
    <row r="114" spans="1:15">
      <c r="A114" s="7"/>
      <c r="B114" s="6" t="s">
        <v>37</v>
      </c>
      <c r="C114" s="6" t="s">
        <v>45</v>
      </c>
      <c r="D114" s="6" t="s">
        <v>45</v>
      </c>
      <c r="E114" s="6" t="s">
        <v>45</v>
      </c>
      <c r="F114" s="6" t="s">
        <v>45</v>
      </c>
      <c r="G114" s="6" t="s">
        <v>45</v>
      </c>
      <c r="H114" s="6" t="s">
        <v>45</v>
      </c>
      <c r="I114" s="6" t="s">
        <v>45</v>
      </c>
      <c r="J114" s="6" t="s">
        <v>45</v>
      </c>
      <c r="K114" s="6" t="s">
        <v>45</v>
      </c>
      <c r="L114" s="6" t="s">
        <v>45</v>
      </c>
      <c r="M114" s="6" t="s">
        <v>45</v>
      </c>
      <c r="N114" s="6" t="s">
        <v>45</v>
      </c>
      <c r="O114" s="53">
        <f t="shared" si="1"/>
        <v>0</v>
      </c>
    </row>
    <row r="115" spans="1:15">
      <c r="A115" s="7"/>
      <c r="B115" s="6" t="s">
        <v>38</v>
      </c>
      <c r="C115" s="7">
        <v>56.4</v>
      </c>
      <c r="D115" s="7">
        <v>71</v>
      </c>
      <c r="E115" s="7">
        <v>59.8</v>
      </c>
      <c r="F115" s="7">
        <v>26.7</v>
      </c>
      <c r="G115" s="7">
        <v>28</v>
      </c>
      <c r="H115" s="7">
        <v>10.7</v>
      </c>
      <c r="I115" s="6" t="s">
        <v>45</v>
      </c>
      <c r="J115" s="6" t="s">
        <v>45</v>
      </c>
      <c r="K115" s="6" t="s">
        <v>45</v>
      </c>
      <c r="L115" s="6" t="s">
        <v>45</v>
      </c>
      <c r="M115" s="6" t="s">
        <v>45</v>
      </c>
      <c r="N115" s="7">
        <v>31.9</v>
      </c>
      <c r="O115" s="53">
        <f t="shared" si="1"/>
        <v>284.49999999999994</v>
      </c>
    </row>
    <row r="116" spans="1:15">
      <c r="A116" s="7"/>
      <c r="B116" s="6" t="s">
        <v>39</v>
      </c>
      <c r="C116" s="7">
        <v>99.9</v>
      </c>
      <c r="D116" s="7">
        <v>93.9</v>
      </c>
      <c r="E116" s="7">
        <v>44.6</v>
      </c>
      <c r="F116" s="7">
        <v>100.92</v>
      </c>
      <c r="G116" s="7">
        <v>24.28</v>
      </c>
      <c r="H116" s="7">
        <v>1</v>
      </c>
      <c r="I116" s="7">
        <v>2.2000000000000002</v>
      </c>
      <c r="J116" s="7">
        <v>2.2000000000000002</v>
      </c>
      <c r="K116" s="7">
        <v>2.2000000000000002</v>
      </c>
      <c r="L116" s="7">
        <v>11.1</v>
      </c>
      <c r="M116" s="7">
        <v>43</v>
      </c>
      <c r="N116" s="7">
        <v>74</v>
      </c>
      <c r="O116" s="53">
        <f t="shared" si="1"/>
        <v>499.3</v>
      </c>
    </row>
    <row r="117" spans="1:15">
      <c r="A117" s="7"/>
      <c r="B117" s="6" t="s">
        <v>40</v>
      </c>
      <c r="C117" s="6" t="s">
        <v>45</v>
      </c>
      <c r="D117" s="6" t="s">
        <v>45</v>
      </c>
      <c r="E117" s="6" t="s">
        <v>45</v>
      </c>
      <c r="F117" s="6" t="s">
        <v>45</v>
      </c>
      <c r="G117" s="6" t="s">
        <v>45</v>
      </c>
      <c r="H117" s="6" t="s">
        <v>45</v>
      </c>
      <c r="I117" s="6" t="s">
        <v>45</v>
      </c>
      <c r="J117" s="6" t="s">
        <v>45</v>
      </c>
      <c r="K117" s="6" t="s">
        <v>45</v>
      </c>
      <c r="L117" s="6" t="s">
        <v>45</v>
      </c>
      <c r="M117" s="6" t="s">
        <v>45</v>
      </c>
      <c r="N117" s="6" t="s">
        <v>45</v>
      </c>
      <c r="O117" s="53">
        <f t="shared" si="1"/>
        <v>0</v>
      </c>
    </row>
    <row r="118" spans="1:15">
      <c r="A118" s="7"/>
      <c r="B118" s="6" t="s">
        <v>41</v>
      </c>
      <c r="C118" s="7">
        <v>1160.74</v>
      </c>
      <c r="D118" s="7">
        <v>8313</v>
      </c>
      <c r="E118" s="7">
        <v>990.19</v>
      </c>
      <c r="F118" s="7">
        <v>663.56</v>
      </c>
      <c r="G118" s="7">
        <v>569.77</v>
      </c>
      <c r="H118" s="7">
        <v>455.52</v>
      </c>
      <c r="I118" s="7">
        <v>305.02999999999997</v>
      </c>
      <c r="J118" s="7">
        <v>327.39999999999998</v>
      </c>
      <c r="K118" s="7">
        <v>391.54</v>
      </c>
      <c r="L118" s="7">
        <v>583.86</v>
      </c>
      <c r="M118" s="7">
        <v>794.4</v>
      </c>
      <c r="N118" s="7">
        <v>987.65</v>
      </c>
      <c r="O118" s="53">
        <f t="shared" si="1"/>
        <v>15542.660000000002</v>
      </c>
    </row>
    <row r="119" spans="1:15">
      <c r="A119" s="8"/>
      <c r="B119" s="9" t="s">
        <v>42</v>
      </c>
      <c r="C119" s="8">
        <v>2369.62</v>
      </c>
      <c r="D119" s="8">
        <v>9397.85</v>
      </c>
      <c r="E119" s="8">
        <v>1998.92</v>
      </c>
      <c r="F119" s="8">
        <v>1806.33</v>
      </c>
      <c r="G119" s="8">
        <v>1868.35</v>
      </c>
      <c r="H119" s="8">
        <v>1213.49</v>
      </c>
      <c r="I119" s="8">
        <v>985.14</v>
      </c>
      <c r="J119" s="8">
        <v>1197.29</v>
      </c>
      <c r="K119" s="8">
        <v>1177.1300000000001</v>
      </c>
      <c r="L119" s="8">
        <v>1511.44</v>
      </c>
      <c r="M119" s="8">
        <v>1635.92</v>
      </c>
      <c r="N119" s="8">
        <v>2116.14</v>
      </c>
      <c r="O119" s="53">
        <f t="shared" si="1"/>
        <v>27277.620000000003</v>
      </c>
    </row>
    <row r="120" spans="1:15">
      <c r="A120" s="7"/>
      <c r="B120" s="6"/>
      <c r="C120" s="7"/>
      <c r="D120" s="7"/>
      <c r="E120" s="7"/>
      <c r="F120" s="7"/>
      <c r="G120" s="7"/>
      <c r="H120" s="7"/>
      <c r="I120" s="7"/>
      <c r="J120" s="7"/>
      <c r="K120" s="7"/>
      <c r="L120" s="7"/>
      <c r="M120" s="7"/>
      <c r="N120" s="7"/>
      <c r="O120" s="53"/>
    </row>
    <row r="121" spans="1:15">
      <c r="A121" s="6" t="s">
        <v>49</v>
      </c>
      <c r="B121" s="6" t="s">
        <v>26</v>
      </c>
      <c r="C121" s="7">
        <v>69608.89</v>
      </c>
      <c r="D121" s="7">
        <v>68511.429999999993</v>
      </c>
      <c r="E121" s="7">
        <v>55050.61</v>
      </c>
      <c r="F121" s="7">
        <v>33376.400000000001</v>
      </c>
      <c r="G121" s="7">
        <v>25504.9</v>
      </c>
      <c r="H121" s="7">
        <v>22198.86</v>
      </c>
      <c r="I121" s="7">
        <v>22267.67</v>
      </c>
      <c r="J121" s="7">
        <v>21503.040000000001</v>
      </c>
      <c r="K121" s="7">
        <v>21024.880000000001</v>
      </c>
      <c r="L121" s="7">
        <v>24480.23</v>
      </c>
      <c r="M121" s="7">
        <v>51175.59</v>
      </c>
      <c r="N121" s="7">
        <v>53794.94</v>
      </c>
      <c r="O121" s="53">
        <f t="shared" si="1"/>
        <v>468497.43999999989</v>
      </c>
    </row>
    <row r="122" spans="1:15">
      <c r="A122" s="7"/>
      <c r="B122" s="6" t="s">
        <v>27</v>
      </c>
      <c r="C122" s="7">
        <v>15365.74</v>
      </c>
      <c r="D122" s="7">
        <v>17388.79</v>
      </c>
      <c r="E122" s="7">
        <v>13161.98</v>
      </c>
      <c r="F122" s="7">
        <v>9926.33</v>
      </c>
      <c r="G122" s="7">
        <v>6671.6</v>
      </c>
      <c r="H122" s="7">
        <v>6705.2</v>
      </c>
      <c r="I122" s="7">
        <v>3868.44</v>
      </c>
      <c r="J122" s="7">
        <v>3568.37</v>
      </c>
      <c r="K122" s="7">
        <v>4392.79</v>
      </c>
      <c r="L122" s="7">
        <v>7188.83</v>
      </c>
      <c r="M122" s="7">
        <v>20164.060000000001</v>
      </c>
      <c r="N122" s="7">
        <v>16814.48</v>
      </c>
      <c r="O122" s="53">
        <f t="shared" si="1"/>
        <v>125216.60999999999</v>
      </c>
    </row>
    <row r="123" spans="1:15" s="1" customFormat="1">
      <c r="A123" s="8"/>
      <c r="B123" s="19" t="s">
        <v>28</v>
      </c>
      <c r="C123" s="20">
        <v>126322.75</v>
      </c>
      <c r="D123" s="20">
        <v>116232.13</v>
      </c>
      <c r="E123" s="20">
        <v>94035.07</v>
      </c>
      <c r="F123" s="20">
        <v>69558.880000000005</v>
      </c>
      <c r="G123" s="20">
        <v>72090.47</v>
      </c>
      <c r="H123" s="20">
        <v>81425.240000000005</v>
      </c>
      <c r="I123" s="20">
        <v>75673.39</v>
      </c>
      <c r="J123" s="20">
        <v>55684.37</v>
      </c>
      <c r="K123" s="20">
        <v>81154.2</v>
      </c>
      <c r="L123" s="20">
        <v>106644.96</v>
      </c>
      <c r="M123" s="20">
        <v>154760.29999999999</v>
      </c>
      <c r="N123" s="20">
        <v>137505.54999999999</v>
      </c>
      <c r="O123" s="54">
        <f t="shared" si="1"/>
        <v>1171087.31</v>
      </c>
    </row>
    <row r="124" spans="1:15">
      <c r="A124" s="7"/>
      <c r="B124" s="6" t="s">
        <v>29</v>
      </c>
      <c r="C124" s="7">
        <v>135024.35999999999</v>
      </c>
      <c r="D124" s="7">
        <v>121307.31</v>
      </c>
      <c r="E124" s="7">
        <v>105015.56</v>
      </c>
      <c r="F124" s="7">
        <v>70132.81</v>
      </c>
      <c r="G124" s="7">
        <v>55814.82</v>
      </c>
      <c r="H124" s="7">
        <v>60324.23</v>
      </c>
      <c r="I124" s="7">
        <v>56135.38</v>
      </c>
      <c r="J124" s="7">
        <v>48309.34</v>
      </c>
      <c r="K124" s="7">
        <v>54113.88</v>
      </c>
      <c r="L124" s="7">
        <v>57599.81</v>
      </c>
      <c r="M124" s="7">
        <v>134593.78</v>
      </c>
      <c r="N124" s="7">
        <v>108513.57</v>
      </c>
      <c r="O124" s="53">
        <f t="shared" si="1"/>
        <v>1006884.8500000001</v>
      </c>
    </row>
    <row r="125" spans="1:15">
      <c r="A125" s="7"/>
      <c r="B125" s="6" t="s">
        <v>30</v>
      </c>
      <c r="C125" s="7">
        <v>10738.62</v>
      </c>
      <c r="D125" s="7">
        <v>10496.47</v>
      </c>
      <c r="E125" s="7">
        <v>10292.31</v>
      </c>
      <c r="F125" s="7">
        <v>4564.4399999999996</v>
      </c>
      <c r="G125" s="7">
        <v>4384.38</v>
      </c>
      <c r="H125" s="7">
        <v>2836.19</v>
      </c>
      <c r="I125" s="7">
        <v>2915.83</v>
      </c>
      <c r="J125" s="7">
        <v>2271.6799999999998</v>
      </c>
      <c r="K125" s="7">
        <v>2694.23</v>
      </c>
      <c r="L125" s="7">
        <v>3053.8</v>
      </c>
      <c r="M125" s="7">
        <v>8543.07</v>
      </c>
      <c r="N125" s="7">
        <v>8836.89</v>
      </c>
      <c r="O125" s="53">
        <f t="shared" si="1"/>
        <v>71627.91</v>
      </c>
    </row>
    <row r="126" spans="1:15">
      <c r="A126" s="7"/>
      <c r="B126" s="6" t="s">
        <v>31</v>
      </c>
      <c r="C126" s="7">
        <v>110009.64</v>
      </c>
      <c r="D126" s="7">
        <v>108316.9</v>
      </c>
      <c r="E126" s="7">
        <v>102142.19</v>
      </c>
      <c r="F126" s="7">
        <v>70988.179999999993</v>
      </c>
      <c r="G126" s="7">
        <v>66541.789999999994</v>
      </c>
      <c r="H126" s="7">
        <v>58128.959999999999</v>
      </c>
      <c r="I126" s="7">
        <v>55470.9</v>
      </c>
      <c r="J126" s="7">
        <v>56274.39</v>
      </c>
      <c r="K126" s="7">
        <v>57631.31</v>
      </c>
      <c r="L126" s="7">
        <v>58476.97</v>
      </c>
      <c r="M126" s="7">
        <v>126097.19</v>
      </c>
      <c r="N126" s="7">
        <v>95482.26</v>
      </c>
      <c r="O126" s="53">
        <f t="shared" si="1"/>
        <v>965560.67999999993</v>
      </c>
    </row>
    <row r="127" spans="1:15">
      <c r="A127" s="7"/>
      <c r="B127" s="6" t="s">
        <v>32</v>
      </c>
      <c r="C127" s="7">
        <v>60810.33</v>
      </c>
      <c r="D127" s="7">
        <v>60944.4</v>
      </c>
      <c r="E127" s="7">
        <v>54041.34</v>
      </c>
      <c r="F127" s="7">
        <v>32036.17</v>
      </c>
      <c r="G127" s="7">
        <v>28096.26</v>
      </c>
      <c r="H127" s="7">
        <v>21629.46</v>
      </c>
      <c r="I127" s="7">
        <v>18363.53</v>
      </c>
      <c r="J127" s="7">
        <v>16848.2</v>
      </c>
      <c r="K127" s="7">
        <v>21400.94</v>
      </c>
      <c r="L127" s="7">
        <v>21598.53</v>
      </c>
      <c r="M127" s="7">
        <v>70881.759999999995</v>
      </c>
      <c r="N127" s="7">
        <v>60126.89</v>
      </c>
      <c r="O127" s="53">
        <f t="shared" si="1"/>
        <v>466777.81000000006</v>
      </c>
    </row>
    <row r="128" spans="1:15">
      <c r="A128" s="7"/>
      <c r="B128" s="6" t="s">
        <v>33</v>
      </c>
      <c r="C128" s="7">
        <v>3009.67</v>
      </c>
      <c r="D128" s="7">
        <v>2567.14</v>
      </c>
      <c r="E128" s="7">
        <v>1923.11</v>
      </c>
      <c r="F128" s="7">
        <v>1379.62</v>
      </c>
      <c r="G128" s="7">
        <v>654.70000000000005</v>
      </c>
      <c r="H128" s="7">
        <v>548.25</v>
      </c>
      <c r="I128" s="7">
        <v>447.14</v>
      </c>
      <c r="J128" s="7">
        <v>557.92999999999995</v>
      </c>
      <c r="K128" s="7">
        <v>952.06</v>
      </c>
      <c r="L128" s="7">
        <v>1421.61</v>
      </c>
      <c r="M128" s="7">
        <v>2628.03</v>
      </c>
      <c r="N128" s="7">
        <v>2519.8200000000002</v>
      </c>
      <c r="O128" s="53">
        <f t="shared" si="1"/>
        <v>18609.080000000002</v>
      </c>
    </row>
    <row r="129" spans="1:15">
      <c r="A129" s="7"/>
      <c r="B129" s="6" t="s">
        <v>34</v>
      </c>
      <c r="C129" s="7">
        <v>12060.51</v>
      </c>
      <c r="D129" s="7">
        <v>9889.7099999999991</v>
      </c>
      <c r="E129" s="7">
        <v>6236.34</v>
      </c>
      <c r="F129" s="7">
        <v>3726.18</v>
      </c>
      <c r="G129" s="7">
        <v>2403.66</v>
      </c>
      <c r="H129" s="7">
        <v>1536.62</v>
      </c>
      <c r="I129" s="7">
        <v>1486.92</v>
      </c>
      <c r="J129" s="7">
        <v>1560.87</v>
      </c>
      <c r="K129" s="7">
        <v>1562.57</v>
      </c>
      <c r="L129" s="7">
        <v>2557.7600000000002</v>
      </c>
      <c r="M129" s="7">
        <v>6736.52</v>
      </c>
      <c r="N129" s="7">
        <v>9031.83</v>
      </c>
      <c r="O129" s="53">
        <f t="shared" si="1"/>
        <v>58789.490000000005</v>
      </c>
    </row>
    <row r="130" spans="1:15">
      <c r="A130" s="7"/>
      <c r="B130" s="6" t="s">
        <v>35</v>
      </c>
      <c r="C130" s="7">
        <v>4191.7700000000004</v>
      </c>
      <c r="D130" s="7">
        <v>3841.66</v>
      </c>
      <c r="E130" s="7">
        <v>2427.7600000000002</v>
      </c>
      <c r="F130" s="7">
        <v>1078.0999999999999</v>
      </c>
      <c r="G130" s="7">
        <v>581.34</v>
      </c>
      <c r="H130" s="7">
        <v>485.41</v>
      </c>
      <c r="I130" s="7">
        <v>479.32</v>
      </c>
      <c r="J130" s="7">
        <v>499.22</v>
      </c>
      <c r="K130" s="7">
        <v>503.03</v>
      </c>
      <c r="L130" s="7">
        <v>892.06</v>
      </c>
      <c r="M130" s="7">
        <v>3604.15</v>
      </c>
      <c r="N130" s="7">
        <v>4168.54</v>
      </c>
      <c r="O130" s="53">
        <f t="shared" si="1"/>
        <v>22752.36</v>
      </c>
    </row>
    <row r="131" spans="1:15">
      <c r="A131" s="7"/>
      <c r="B131" s="6" t="s">
        <v>36</v>
      </c>
      <c r="C131" s="7">
        <v>65235.59</v>
      </c>
      <c r="D131" s="7">
        <v>59604.93</v>
      </c>
      <c r="E131" s="7">
        <v>55243.18</v>
      </c>
      <c r="F131" s="7">
        <v>30909.66</v>
      </c>
      <c r="G131" s="7">
        <v>20894.27</v>
      </c>
      <c r="H131" s="7">
        <v>19465.150000000001</v>
      </c>
      <c r="I131" s="7">
        <v>22105.64</v>
      </c>
      <c r="J131" s="7">
        <v>18494.37</v>
      </c>
      <c r="K131" s="7">
        <v>19948.240000000002</v>
      </c>
      <c r="L131" s="7">
        <v>21262.43</v>
      </c>
      <c r="M131" s="7">
        <v>45998.15</v>
      </c>
      <c r="N131" s="7">
        <v>53246.85</v>
      </c>
      <c r="O131" s="53">
        <f t="shared" si="1"/>
        <v>432408.45999999996</v>
      </c>
    </row>
    <row r="132" spans="1:15">
      <c r="A132" s="7"/>
      <c r="B132" s="6" t="s">
        <v>37</v>
      </c>
      <c r="C132" s="7">
        <v>3714.88</v>
      </c>
      <c r="D132" s="7">
        <v>2989.47</v>
      </c>
      <c r="E132" s="7">
        <v>2033</v>
      </c>
      <c r="F132" s="7">
        <v>1472.21</v>
      </c>
      <c r="G132" s="7">
        <v>878.52</v>
      </c>
      <c r="H132" s="7">
        <v>756.03</v>
      </c>
      <c r="I132" s="7">
        <v>706.22</v>
      </c>
      <c r="J132" s="7">
        <v>691.12</v>
      </c>
      <c r="K132" s="7">
        <v>785.97</v>
      </c>
      <c r="L132" s="7">
        <v>1147.49</v>
      </c>
      <c r="M132" s="7">
        <v>2666.66</v>
      </c>
      <c r="N132" s="7">
        <v>2721.94</v>
      </c>
      <c r="O132" s="53">
        <f t="shared" si="1"/>
        <v>20563.509999999998</v>
      </c>
    </row>
    <row r="133" spans="1:15">
      <c r="A133" s="7"/>
      <c r="B133" s="6" t="s">
        <v>38</v>
      </c>
      <c r="C133" s="7">
        <v>56905.120000000003</v>
      </c>
      <c r="D133" s="7">
        <v>72808.69</v>
      </c>
      <c r="E133" s="7">
        <v>70390.600000000006</v>
      </c>
      <c r="F133" s="7">
        <v>52664.02</v>
      </c>
      <c r="G133" s="7">
        <v>48705.95</v>
      </c>
      <c r="H133" s="7">
        <v>43509</v>
      </c>
      <c r="I133" s="7">
        <v>40246.58</v>
      </c>
      <c r="J133" s="7">
        <v>36605.129999999997</v>
      </c>
      <c r="K133" s="7">
        <v>41552.949999999997</v>
      </c>
      <c r="L133" s="7">
        <v>37094.269999999997</v>
      </c>
      <c r="M133" s="7">
        <v>63635.79</v>
      </c>
      <c r="N133" s="7">
        <v>63021.05</v>
      </c>
      <c r="O133" s="53">
        <f t="shared" si="1"/>
        <v>627139.15000000014</v>
      </c>
    </row>
    <row r="134" spans="1:15">
      <c r="A134" s="7"/>
      <c r="B134" s="6" t="s">
        <v>39</v>
      </c>
      <c r="C134" s="7">
        <v>82452.69</v>
      </c>
      <c r="D134" s="7">
        <v>79831.199999999997</v>
      </c>
      <c r="E134" s="7">
        <v>77211.360000000001</v>
      </c>
      <c r="F134" s="7">
        <v>48052.959999999999</v>
      </c>
      <c r="G134" s="7">
        <v>42410.84</v>
      </c>
      <c r="H134" s="7">
        <v>31237.52</v>
      </c>
      <c r="I134" s="7">
        <v>32055.57</v>
      </c>
      <c r="J134" s="7">
        <v>28805.97</v>
      </c>
      <c r="K134" s="7">
        <v>31986.880000000001</v>
      </c>
      <c r="L134" s="7">
        <v>33313.089999999997</v>
      </c>
      <c r="M134" s="7">
        <v>62524.49</v>
      </c>
      <c r="N134" s="7">
        <v>72546.080000000002</v>
      </c>
      <c r="O134" s="53">
        <f t="shared" si="1"/>
        <v>622428.65</v>
      </c>
    </row>
    <row r="135" spans="1:15">
      <c r="A135" s="7"/>
      <c r="B135" s="6" t="s">
        <v>40</v>
      </c>
      <c r="C135" s="7">
        <v>10310.870000000001</v>
      </c>
      <c r="D135" s="7">
        <v>11544.88</v>
      </c>
      <c r="E135" s="7">
        <v>8366.02</v>
      </c>
      <c r="F135" s="7">
        <v>5090.3999999999996</v>
      </c>
      <c r="G135" s="7">
        <v>4616.24</v>
      </c>
      <c r="H135" s="7">
        <v>2980.64</v>
      </c>
      <c r="I135" s="7">
        <v>5610.51</v>
      </c>
      <c r="J135" s="7">
        <v>6085.07</v>
      </c>
      <c r="K135" s="7">
        <v>4793.7700000000004</v>
      </c>
      <c r="L135" s="7">
        <v>4284.18</v>
      </c>
      <c r="M135" s="7">
        <v>12938.45</v>
      </c>
      <c r="N135" s="7">
        <v>8478.08</v>
      </c>
      <c r="O135" s="53">
        <f t="shared" si="1"/>
        <v>85099.11</v>
      </c>
    </row>
    <row r="136" spans="1:15">
      <c r="A136" s="7"/>
      <c r="B136" s="6" t="s">
        <v>41</v>
      </c>
      <c r="C136" s="7">
        <v>86876.46</v>
      </c>
      <c r="D136" s="7">
        <v>92835.76</v>
      </c>
      <c r="E136" s="7">
        <v>74606.3</v>
      </c>
      <c r="F136" s="7">
        <v>59295.519999999997</v>
      </c>
      <c r="G136" s="7">
        <v>48488.87</v>
      </c>
      <c r="H136" s="7">
        <v>49100.37</v>
      </c>
      <c r="I136" s="7">
        <v>47896.77</v>
      </c>
      <c r="J136" s="7">
        <v>42990.6</v>
      </c>
      <c r="K136" s="7">
        <v>39507.17</v>
      </c>
      <c r="L136" s="7">
        <v>38993.040000000001</v>
      </c>
      <c r="M136" s="7">
        <v>83731.210000000006</v>
      </c>
      <c r="N136" s="7">
        <v>64377.46</v>
      </c>
      <c r="O136" s="53">
        <f t="shared" si="1"/>
        <v>728699.53</v>
      </c>
    </row>
    <row r="137" spans="1:15">
      <c r="A137" s="8"/>
      <c r="B137" s="9" t="s">
        <v>42</v>
      </c>
      <c r="C137" s="8">
        <v>852637.89</v>
      </c>
      <c r="D137" s="8">
        <v>839110.87</v>
      </c>
      <c r="E137" s="8">
        <v>732176.73</v>
      </c>
      <c r="F137" s="8">
        <v>494251.88</v>
      </c>
      <c r="G137" s="8">
        <v>428738.61</v>
      </c>
      <c r="H137" s="8">
        <v>402867.13</v>
      </c>
      <c r="I137" s="8">
        <v>385729.81</v>
      </c>
      <c r="J137" s="8">
        <v>340749.67</v>
      </c>
      <c r="K137" s="8">
        <v>384004.87</v>
      </c>
      <c r="L137" s="8">
        <v>420009.06</v>
      </c>
      <c r="M137" s="8">
        <v>850679.2</v>
      </c>
      <c r="N137" s="8">
        <v>761186.23</v>
      </c>
      <c r="O137" s="53">
        <f t="shared" si="1"/>
        <v>6892141.9499999993</v>
      </c>
    </row>
  </sheetData>
  <mergeCells count="1">
    <mergeCell ref="C10:N10"/>
  </mergeCells>
  <pageMargins left="0.7" right="0.7" top="0.75" bottom="0.75" header="0.3" footer="0.3"/>
  <pageSetup orientation="portrait" horizontalDpi="4294967293" verticalDpi="0" r:id="rId1"/>
</worksheet>
</file>

<file path=xl/worksheets/sheet16.xml><?xml version="1.0" encoding="utf-8"?>
<worksheet xmlns="http://schemas.openxmlformats.org/spreadsheetml/2006/main" xmlns:r="http://schemas.openxmlformats.org/officeDocument/2006/relationships">
  <dimension ref="A1:O137"/>
  <sheetViews>
    <sheetView topLeftCell="B1" zoomScale="80" zoomScaleNormal="80" workbookViewId="0">
      <selection activeCell="C15" sqref="C15:N15"/>
    </sheetView>
  </sheetViews>
  <sheetFormatPr defaultRowHeight="15"/>
  <cols>
    <col min="1" max="1" width="39.85546875" bestFit="1" customWidth="1"/>
    <col min="2" max="2" width="35.5703125" bestFit="1" customWidth="1"/>
    <col min="3" max="8" width="15.140625" bestFit="1" customWidth="1"/>
    <col min="9" max="14" width="10.7109375" customWidth="1"/>
    <col min="15" max="15" width="10.5703125" style="1" bestFit="1" customWidth="1"/>
  </cols>
  <sheetData>
    <row r="1" spans="1:15" s="697" customFormat="1">
      <c r="A1" s="74" t="s">
        <v>2251</v>
      </c>
      <c r="O1" s="700"/>
    </row>
    <row r="2" spans="1:15" s="697" customFormat="1">
      <c r="A2" s="707"/>
      <c r="O2" s="700"/>
    </row>
    <row r="3" spans="1:15">
      <c r="A3" s="3" t="s">
        <v>3</v>
      </c>
      <c r="B3" s="12"/>
      <c r="C3" s="12"/>
      <c r="D3" s="12"/>
      <c r="E3" s="12"/>
      <c r="F3" s="12"/>
      <c r="G3" s="12"/>
      <c r="H3" s="12"/>
      <c r="I3" s="12"/>
    </row>
    <row r="4" spans="1:15">
      <c r="A4" s="4" t="s">
        <v>4</v>
      </c>
    </row>
    <row r="5" spans="1:15">
      <c r="A5" s="4" t="s">
        <v>5</v>
      </c>
    </row>
    <row r="6" spans="1:15">
      <c r="A6" s="4" t="s">
        <v>6</v>
      </c>
    </row>
    <row r="7" spans="1:15">
      <c r="A7" s="4" t="s">
        <v>7</v>
      </c>
    </row>
    <row r="8" spans="1:15">
      <c r="A8" s="4" t="s">
        <v>8</v>
      </c>
    </row>
    <row r="9" spans="1:15">
      <c r="A9" s="4" t="s">
        <v>9</v>
      </c>
    </row>
    <row r="10" spans="1:15" ht="15.75">
      <c r="C10" s="1140" t="s">
        <v>875</v>
      </c>
      <c r="D10" s="1141"/>
      <c r="E10" s="1141"/>
      <c r="F10" s="1141"/>
      <c r="G10" s="1141"/>
      <c r="H10" s="1141"/>
      <c r="I10" s="1141"/>
      <c r="J10" s="1141"/>
      <c r="K10" s="1141"/>
      <c r="L10" s="1141"/>
      <c r="M10" s="1141"/>
      <c r="N10" s="1141"/>
    </row>
    <row r="11" spans="1:15">
      <c r="C11" s="4" t="s">
        <v>11</v>
      </c>
      <c r="D11" s="4" t="s">
        <v>12</v>
      </c>
      <c r="E11" s="4" t="s">
        <v>13</v>
      </c>
      <c r="F11" s="4" t="s">
        <v>14</v>
      </c>
      <c r="G11" s="4" t="s">
        <v>15</v>
      </c>
      <c r="H11" s="4" t="s">
        <v>16</v>
      </c>
      <c r="I11" s="4" t="s">
        <v>17</v>
      </c>
      <c r="J11" s="4" t="s">
        <v>18</v>
      </c>
      <c r="K11" s="4" t="s">
        <v>19</v>
      </c>
      <c r="L11" s="4" t="s">
        <v>20</v>
      </c>
      <c r="M11" s="4" t="s">
        <v>21</v>
      </c>
      <c r="N11" s="4" t="s">
        <v>22</v>
      </c>
      <c r="O11" s="10" t="s">
        <v>50</v>
      </c>
    </row>
    <row r="12" spans="1:15">
      <c r="C12" s="5" t="s">
        <v>876</v>
      </c>
      <c r="D12" s="5" t="s">
        <v>876</v>
      </c>
      <c r="E12" s="5" t="s">
        <v>876</v>
      </c>
      <c r="F12" s="5" t="s">
        <v>876</v>
      </c>
      <c r="G12" s="5" t="s">
        <v>876</v>
      </c>
      <c r="H12" s="5" t="s">
        <v>876</v>
      </c>
      <c r="I12" s="5" t="s">
        <v>876</v>
      </c>
      <c r="J12" s="5" t="s">
        <v>876</v>
      </c>
      <c r="K12" s="5" t="s">
        <v>876</v>
      </c>
      <c r="L12" s="5" t="s">
        <v>23</v>
      </c>
      <c r="M12" s="5" t="s">
        <v>23</v>
      </c>
      <c r="N12" s="5" t="s">
        <v>23</v>
      </c>
    </row>
    <row r="13" spans="1:15" s="286" customFormat="1">
      <c r="A13" s="285" t="s">
        <v>25</v>
      </c>
      <c r="B13" s="285" t="s">
        <v>26</v>
      </c>
      <c r="C13" s="286">
        <v>26046.9</v>
      </c>
      <c r="D13" s="286">
        <v>20812.900000000001</v>
      </c>
      <c r="E13" s="286">
        <v>13964.9</v>
      </c>
      <c r="F13" s="286">
        <v>9773.6</v>
      </c>
      <c r="G13" s="286">
        <v>4276.1000000000004</v>
      </c>
      <c r="H13" s="286">
        <v>2826.8</v>
      </c>
      <c r="I13" s="286">
        <v>1731.1</v>
      </c>
      <c r="J13" s="286">
        <v>1618.7</v>
      </c>
      <c r="K13" s="286">
        <v>1675.5</v>
      </c>
      <c r="L13" s="286">
        <v>2847.9</v>
      </c>
      <c r="M13" s="286">
        <v>7407.1</v>
      </c>
      <c r="N13" s="286">
        <v>11096.8</v>
      </c>
      <c r="O13" s="53">
        <f>SUM(C13:N13)</f>
        <v>104078.30000000002</v>
      </c>
    </row>
    <row r="14" spans="1:15" s="286" customFormat="1">
      <c r="B14" s="285" t="s">
        <v>27</v>
      </c>
      <c r="C14" s="286">
        <v>396.2</v>
      </c>
      <c r="D14" s="286">
        <v>315.10000000000002</v>
      </c>
      <c r="E14" s="286">
        <v>264.10000000000002</v>
      </c>
      <c r="F14" s="286">
        <v>139.80000000000001</v>
      </c>
      <c r="G14" s="286">
        <v>62.2</v>
      </c>
      <c r="H14" s="286">
        <v>15.1</v>
      </c>
      <c r="I14" s="286">
        <v>15.2</v>
      </c>
      <c r="J14" s="286">
        <v>12.1</v>
      </c>
      <c r="K14" s="286">
        <v>26.7</v>
      </c>
      <c r="L14" s="286">
        <v>91.6</v>
      </c>
      <c r="M14" s="286">
        <v>197.4</v>
      </c>
      <c r="N14" s="286">
        <v>286.7</v>
      </c>
      <c r="O14" s="53">
        <f t="shared" ref="O14:O77" si="0">SUM(C14:N14)</f>
        <v>1822.2</v>
      </c>
    </row>
    <row r="15" spans="1:15" s="286" customFormat="1">
      <c r="B15" s="295" t="s">
        <v>28</v>
      </c>
      <c r="C15" s="296">
        <v>51887.16</v>
      </c>
      <c r="D15" s="296">
        <v>41883.15</v>
      </c>
      <c r="E15" s="296">
        <v>28892.39</v>
      </c>
      <c r="F15" s="296">
        <v>20882.52</v>
      </c>
      <c r="G15" s="296">
        <v>8603.2999999999993</v>
      </c>
      <c r="H15" s="296">
        <v>4909.67</v>
      </c>
      <c r="I15" s="296">
        <v>4136.5</v>
      </c>
      <c r="J15" s="296">
        <v>3940.29</v>
      </c>
      <c r="K15" s="296">
        <v>4972.2700000000004</v>
      </c>
      <c r="L15" s="296">
        <v>8522.17</v>
      </c>
      <c r="M15" s="296">
        <v>19109.43</v>
      </c>
      <c r="N15" s="296">
        <v>27662.560000000001</v>
      </c>
      <c r="O15" s="54">
        <f t="shared" si="0"/>
        <v>225401.41</v>
      </c>
    </row>
    <row r="16" spans="1:15" s="286" customFormat="1">
      <c r="B16" s="285" t="s">
        <v>29</v>
      </c>
      <c r="C16" s="286">
        <v>47682.3</v>
      </c>
      <c r="D16" s="286">
        <v>40662.699999999997</v>
      </c>
      <c r="E16" s="286">
        <v>24044.5</v>
      </c>
      <c r="F16" s="286">
        <v>15477.8</v>
      </c>
      <c r="G16" s="286">
        <v>6958.2</v>
      </c>
      <c r="H16" s="286">
        <v>4739.3</v>
      </c>
      <c r="I16" s="286">
        <v>2785.9</v>
      </c>
      <c r="J16" s="286">
        <v>2608.5</v>
      </c>
      <c r="K16" s="286">
        <v>3085.4</v>
      </c>
      <c r="L16" s="286">
        <v>6719.1</v>
      </c>
      <c r="M16" s="286">
        <v>17748.3</v>
      </c>
      <c r="N16" s="286">
        <v>25577.1</v>
      </c>
      <c r="O16" s="53">
        <f t="shared" si="0"/>
        <v>198089.09999999998</v>
      </c>
    </row>
    <row r="17" spans="1:15" s="286" customFormat="1">
      <c r="B17" s="285" t="s">
        <v>30</v>
      </c>
      <c r="C17" s="286">
        <v>2532.4</v>
      </c>
      <c r="D17" s="286">
        <v>2161.9</v>
      </c>
      <c r="E17" s="286">
        <v>1599.1</v>
      </c>
      <c r="F17" s="286">
        <v>1027.9000000000001</v>
      </c>
      <c r="G17" s="286">
        <v>372.3</v>
      </c>
      <c r="H17" s="286">
        <v>253.4</v>
      </c>
      <c r="I17" s="286">
        <v>117</v>
      </c>
      <c r="J17" s="286">
        <v>97.9</v>
      </c>
      <c r="K17" s="286">
        <v>111.1</v>
      </c>
      <c r="L17" s="286">
        <v>212</v>
      </c>
      <c r="M17" s="286">
        <v>659.2</v>
      </c>
      <c r="N17" s="286">
        <v>1151.0999999999999</v>
      </c>
      <c r="O17" s="53">
        <f t="shared" si="0"/>
        <v>10295.299999999999</v>
      </c>
    </row>
    <row r="18" spans="1:15" s="286" customFormat="1">
      <c r="B18" s="285" t="s">
        <v>31</v>
      </c>
      <c r="C18" s="286">
        <v>35735.11</v>
      </c>
      <c r="D18" s="286">
        <v>29076.959999999999</v>
      </c>
      <c r="E18" s="286">
        <v>21348.18</v>
      </c>
      <c r="F18" s="286">
        <v>15477.93</v>
      </c>
      <c r="G18" s="286">
        <v>6964.31</v>
      </c>
      <c r="H18" s="286">
        <v>3995.58</v>
      </c>
      <c r="I18" s="286">
        <v>2949.98</v>
      </c>
      <c r="J18" s="286">
        <v>2841.3</v>
      </c>
      <c r="K18" s="286">
        <v>2722.52</v>
      </c>
      <c r="L18" s="286">
        <v>4051.24</v>
      </c>
      <c r="M18" s="286">
        <v>8000.45</v>
      </c>
      <c r="N18" s="286">
        <v>13241.11</v>
      </c>
      <c r="O18" s="53">
        <f t="shared" si="0"/>
        <v>146404.66999999998</v>
      </c>
    </row>
    <row r="19" spans="1:15" s="286" customFormat="1">
      <c r="B19" s="285" t="s">
        <v>32</v>
      </c>
      <c r="C19" s="286">
        <v>3588.2</v>
      </c>
      <c r="D19" s="286">
        <v>3108.4</v>
      </c>
      <c r="E19" s="286">
        <v>1869.4</v>
      </c>
      <c r="F19" s="286">
        <v>1295.8</v>
      </c>
      <c r="G19" s="286">
        <v>472.4</v>
      </c>
      <c r="H19" s="286">
        <v>231.3</v>
      </c>
      <c r="I19" s="286">
        <v>141.19999999999999</v>
      </c>
      <c r="J19" s="286">
        <v>141.9</v>
      </c>
      <c r="K19" s="286">
        <v>142.30000000000001</v>
      </c>
      <c r="L19" s="286">
        <v>379</v>
      </c>
      <c r="M19" s="286">
        <v>1222.8</v>
      </c>
      <c r="N19" s="286">
        <v>1721.2</v>
      </c>
      <c r="O19" s="53">
        <f t="shared" si="0"/>
        <v>14313.899999999998</v>
      </c>
    </row>
    <row r="20" spans="1:15" s="286" customFormat="1">
      <c r="B20" s="285" t="s">
        <v>33</v>
      </c>
      <c r="C20" s="286">
        <v>891.3</v>
      </c>
      <c r="D20" s="286">
        <v>648.1</v>
      </c>
      <c r="E20" s="286">
        <v>461.4</v>
      </c>
      <c r="F20" s="286">
        <v>340.5</v>
      </c>
      <c r="G20" s="286">
        <v>154</v>
      </c>
      <c r="H20" s="286">
        <v>49.6</v>
      </c>
      <c r="I20" s="286">
        <v>44.9</v>
      </c>
      <c r="J20" s="286">
        <v>40.9</v>
      </c>
      <c r="K20" s="286">
        <v>66</v>
      </c>
      <c r="L20" s="286">
        <v>201.3</v>
      </c>
      <c r="M20" s="286">
        <v>414.5</v>
      </c>
      <c r="N20" s="286">
        <v>532.9</v>
      </c>
      <c r="O20" s="53">
        <f t="shared" si="0"/>
        <v>3845.4000000000005</v>
      </c>
    </row>
    <row r="21" spans="1:15" s="286" customFormat="1">
      <c r="B21" s="285" t="s">
        <v>34</v>
      </c>
      <c r="C21" s="286">
        <v>6796.62</v>
      </c>
      <c r="D21" s="286">
        <v>5476.4</v>
      </c>
      <c r="E21" s="286">
        <v>3222.2</v>
      </c>
      <c r="F21" s="286">
        <v>2360.8000000000002</v>
      </c>
      <c r="G21" s="286">
        <v>1003.9</v>
      </c>
      <c r="H21" s="286">
        <v>491.8</v>
      </c>
      <c r="I21" s="286">
        <v>446.8</v>
      </c>
      <c r="J21" s="286">
        <v>455.7</v>
      </c>
      <c r="K21" s="286">
        <v>509.94</v>
      </c>
      <c r="L21" s="286">
        <v>933.1</v>
      </c>
      <c r="M21" s="286">
        <v>2704.48</v>
      </c>
      <c r="N21" s="286">
        <v>3455.23</v>
      </c>
      <c r="O21" s="53">
        <f t="shared" si="0"/>
        <v>27856.969999999998</v>
      </c>
    </row>
    <row r="22" spans="1:15" s="286" customFormat="1">
      <c r="B22" s="285" t="s">
        <v>35</v>
      </c>
      <c r="C22" s="286">
        <v>1368.4</v>
      </c>
      <c r="D22" s="286">
        <v>995.2</v>
      </c>
      <c r="E22" s="286">
        <v>722</v>
      </c>
      <c r="F22" s="286">
        <v>368.9</v>
      </c>
      <c r="G22" s="286">
        <v>193</v>
      </c>
      <c r="H22" s="286">
        <v>79.599999999999994</v>
      </c>
      <c r="I22" s="286">
        <v>72.7</v>
      </c>
      <c r="J22" s="286">
        <v>65.8</v>
      </c>
      <c r="K22" s="286">
        <v>85.8</v>
      </c>
      <c r="L22" s="286">
        <v>263.7</v>
      </c>
      <c r="M22" s="286">
        <v>602.1</v>
      </c>
      <c r="N22" s="286">
        <v>913.6</v>
      </c>
      <c r="O22" s="53">
        <f t="shared" si="0"/>
        <v>5730.8000000000011</v>
      </c>
    </row>
    <row r="23" spans="1:15" s="286" customFormat="1">
      <c r="B23" s="285" t="s">
        <v>36</v>
      </c>
      <c r="C23" s="286">
        <v>19254.14</v>
      </c>
      <c r="D23" s="286">
        <v>15476.37</v>
      </c>
      <c r="E23" s="286">
        <v>10538.9</v>
      </c>
      <c r="F23" s="286">
        <v>7579.32</v>
      </c>
      <c r="G23" s="286">
        <v>2859.1</v>
      </c>
      <c r="H23" s="286">
        <v>1474.72</v>
      </c>
      <c r="I23" s="286">
        <v>962.51</v>
      </c>
      <c r="J23" s="286">
        <v>887.98</v>
      </c>
      <c r="K23" s="286">
        <v>987.34</v>
      </c>
      <c r="L23" s="286">
        <v>2172.69</v>
      </c>
      <c r="M23" s="286">
        <v>6260.96</v>
      </c>
      <c r="N23" s="286">
        <v>9083.0499999999993</v>
      </c>
      <c r="O23" s="53">
        <f t="shared" si="0"/>
        <v>77537.080000000016</v>
      </c>
    </row>
    <row r="24" spans="1:15" s="286" customFormat="1">
      <c r="B24" s="285" t="s">
        <v>37</v>
      </c>
      <c r="C24" s="286">
        <v>1596.5</v>
      </c>
      <c r="D24" s="286">
        <v>1072.5999999999999</v>
      </c>
      <c r="E24" s="286">
        <v>795.1</v>
      </c>
      <c r="F24" s="286">
        <v>607.9</v>
      </c>
      <c r="G24" s="286">
        <v>250.6</v>
      </c>
      <c r="H24" s="286">
        <v>86</v>
      </c>
      <c r="I24" s="286">
        <v>77.900000000000006</v>
      </c>
      <c r="J24" s="286">
        <v>70.3</v>
      </c>
      <c r="K24" s="286">
        <v>99.2</v>
      </c>
      <c r="L24" s="286">
        <v>317.7</v>
      </c>
      <c r="M24" s="286">
        <v>621</v>
      </c>
      <c r="N24" s="286">
        <v>850.2</v>
      </c>
      <c r="O24" s="53">
        <f t="shared" si="0"/>
        <v>6444.9999999999991</v>
      </c>
    </row>
    <row r="25" spans="1:15" s="286" customFormat="1">
      <c r="B25" s="285" t="s">
        <v>38</v>
      </c>
      <c r="C25" s="286">
        <v>17872.8</v>
      </c>
      <c r="D25" s="286">
        <v>13748.1</v>
      </c>
      <c r="E25" s="286">
        <v>10656.93</v>
      </c>
      <c r="F25" s="286">
        <v>7465.64</v>
      </c>
      <c r="G25" s="286">
        <v>2528.9</v>
      </c>
      <c r="H25" s="286">
        <v>1251.5999999999999</v>
      </c>
      <c r="I25" s="286">
        <v>782.8</v>
      </c>
      <c r="J25" s="286">
        <v>651.70000000000005</v>
      </c>
      <c r="K25" s="286">
        <v>658.1</v>
      </c>
      <c r="L25" s="286">
        <v>1652.6</v>
      </c>
      <c r="M25" s="286">
        <v>4469.2</v>
      </c>
      <c r="N25" s="286">
        <v>7470.1</v>
      </c>
      <c r="O25" s="53">
        <f t="shared" si="0"/>
        <v>69208.47</v>
      </c>
    </row>
    <row r="26" spans="1:15" s="286" customFormat="1">
      <c r="B26" s="285" t="s">
        <v>39</v>
      </c>
      <c r="C26" s="286">
        <v>32795.25</v>
      </c>
      <c r="D26" s="286">
        <v>28002.28</v>
      </c>
      <c r="E26" s="286">
        <v>18980.11</v>
      </c>
      <c r="F26" s="286">
        <v>13539.93</v>
      </c>
      <c r="G26" s="286">
        <v>5263.9</v>
      </c>
      <c r="H26" s="286">
        <v>2889.78</v>
      </c>
      <c r="I26" s="286">
        <v>2047.58</v>
      </c>
      <c r="J26" s="286">
        <v>1855.02</v>
      </c>
      <c r="K26" s="286">
        <v>2045.64</v>
      </c>
      <c r="L26" s="286">
        <v>3878.17</v>
      </c>
      <c r="M26" s="286">
        <v>9508.83</v>
      </c>
      <c r="N26" s="286">
        <v>15125.02</v>
      </c>
      <c r="O26" s="53">
        <f t="shared" si="0"/>
        <v>135931.51</v>
      </c>
    </row>
    <row r="27" spans="1:15" s="286" customFormat="1">
      <c r="B27" s="285" t="s">
        <v>40</v>
      </c>
      <c r="C27" s="286">
        <v>1788.7</v>
      </c>
      <c r="D27" s="286">
        <v>1447.2</v>
      </c>
      <c r="E27" s="286">
        <v>982.9</v>
      </c>
      <c r="F27" s="286">
        <v>630.6</v>
      </c>
      <c r="G27" s="286">
        <v>245.3</v>
      </c>
      <c r="H27" s="286">
        <v>129.1</v>
      </c>
      <c r="I27" s="286">
        <v>61.9</v>
      </c>
      <c r="J27" s="286">
        <v>65.8</v>
      </c>
      <c r="K27" s="286">
        <v>62.6</v>
      </c>
      <c r="L27" s="286">
        <v>189</v>
      </c>
      <c r="M27" s="286">
        <v>584.29999999999995</v>
      </c>
      <c r="N27" s="286">
        <v>909.1</v>
      </c>
      <c r="O27" s="53">
        <f t="shared" si="0"/>
        <v>7096.5000000000018</v>
      </c>
    </row>
    <row r="28" spans="1:15" s="286" customFormat="1">
      <c r="B28" s="285" t="s">
        <v>41</v>
      </c>
      <c r="C28" s="286">
        <v>18785.39</v>
      </c>
      <c r="D28" s="286">
        <v>14571.17</v>
      </c>
      <c r="E28" s="286">
        <v>9564.7099999999991</v>
      </c>
      <c r="F28" s="286">
        <v>6513.14</v>
      </c>
      <c r="G28" s="286">
        <v>2381.4499999999998</v>
      </c>
      <c r="H28" s="286">
        <v>1105.56</v>
      </c>
      <c r="I28" s="286">
        <v>792.53</v>
      </c>
      <c r="J28" s="286">
        <v>747.52</v>
      </c>
      <c r="K28" s="286">
        <v>993.58</v>
      </c>
      <c r="L28" s="286">
        <v>2287.08</v>
      </c>
      <c r="M28" s="286">
        <v>6629.81</v>
      </c>
      <c r="N28" s="286">
        <v>9322.01</v>
      </c>
      <c r="O28" s="53">
        <f t="shared" si="0"/>
        <v>73693.949999999983</v>
      </c>
    </row>
    <row r="29" spans="1:15" s="8" customFormat="1">
      <c r="B29" s="9" t="s">
        <v>42</v>
      </c>
      <c r="C29" s="8">
        <v>269017.37</v>
      </c>
      <c r="D29" s="8">
        <v>219458.53</v>
      </c>
      <c r="E29" s="8">
        <v>147906.82</v>
      </c>
      <c r="F29" s="8">
        <v>103482.08</v>
      </c>
      <c r="G29" s="8">
        <v>42588.959999999999</v>
      </c>
      <c r="H29" s="8">
        <v>24528.91</v>
      </c>
      <c r="I29" s="8">
        <v>17166.5</v>
      </c>
      <c r="J29" s="8">
        <v>16101.41</v>
      </c>
      <c r="K29" s="8">
        <v>18243.990000000002</v>
      </c>
      <c r="L29" s="8">
        <v>34718.35</v>
      </c>
      <c r="M29" s="8">
        <v>86139.86</v>
      </c>
      <c r="N29" s="8">
        <v>128397.78</v>
      </c>
      <c r="O29" s="53">
        <f t="shared" si="0"/>
        <v>1107750.5599999998</v>
      </c>
    </row>
    <row r="30" spans="1:15" s="286" customFormat="1">
      <c r="B30" s="285"/>
      <c r="O30" s="53"/>
    </row>
    <row r="31" spans="1:15">
      <c r="A31" s="285" t="s">
        <v>43</v>
      </c>
      <c r="B31" s="285" t="s">
        <v>26</v>
      </c>
      <c r="C31" s="286">
        <v>43118.38</v>
      </c>
      <c r="D31" s="286">
        <v>33978.17</v>
      </c>
      <c r="E31" s="286">
        <v>22898.48</v>
      </c>
      <c r="F31" s="286">
        <v>15383.39</v>
      </c>
      <c r="G31" s="286">
        <v>7790.59</v>
      </c>
      <c r="H31" s="286">
        <v>7238.58</v>
      </c>
      <c r="I31" s="286">
        <v>7882.63</v>
      </c>
      <c r="J31" s="286">
        <v>7892.03</v>
      </c>
      <c r="K31" s="286">
        <v>8467.25</v>
      </c>
      <c r="L31" s="286">
        <v>10289.85</v>
      </c>
      <c r="M31" s="286">
        <v>13480.49</v>
      </c>
      <c r="N31" s="286">
        <v>20254.12</v>
      </c>
      <c r="O31" s="53">
        <f t="shared" si="0"/>
        <v>198673.95999999996</v>
      </c>
    </row>
    <row r="32" spans="1:15">
      <c r="A32" s="286"/>
      <c r="B32" s="285" t="s">
        <v>27</v>
      </c>
      <c r="C32" s="286">
        <v>2749.39</v>
      </c>
      <c r="D32" s="286">
        <v>1770.9</v>
      </c>
      <c r="E32" s="286">
        <v>1369.53</v>
      </c>
      <c r="F32" s="286">
        <v>797.68</v>
      </c>
      <c r="G32" s="286">
        <v>461.3</v>
      </c>
      <c r="H32" s="286">
        <v>264.14</v>
      </c>
      <c r="I32" s="286">
        <v>200.14</v>
      </c>
      <c r="J32" s="286">
        <v>119.2</v>
      </c>
      <c r="K32" s="286">
        <v>187.42</v>
      </c>
      <c r="L32" s="286">
        <v>422.47</v>
      </c>
      <c r="M32" s="286">
        <v>957.79</v>
      </c>
      <c r="N32" s="286">
        <v>1613.13</v>
      </c>
      <c r="O32" s="53">
        <f t="shared" si="0"/>
        <v>10913.09</v>
      </c>
    </row>
    <row r="33" spans="1:15">
      <c r="A33" s="286"/>
      <c r="B33" s="295" t="s">
        <v>28</v>
      </c>
      <c r="C33" s="296">
        <v>70196.39</v>
      </c>
      <c r="D33" s="296">
        <v>60505.61</v>
      </c>
      <c r="E33" s="296">
        <v>44033.13</v>
      </c>
      <c r="F33" s="296">
        <v>35485.29</v>
      </c>
      <c r="G33" s="296">
        <v>20260.29</v>
      </c>
      <c r="H33" s="296">
        <v>12791.51</v>
      </c>
      <c r="I33" s="296">
        <v>11315.54</v>
      </c>
      <c r="J33" s="296">
        <v>11747.54</v>
      </c>
      <c r="K33" s="296">
        <v>14563.57</v>
      </c>
      <c r="L33" s="296">
        <v>19702.599999999999</v>
      </c>
      <c r="M33" s="296">
        <v>32152.91</v>
      </c>
      <c r="N33" s="296">
        <v>41637.42</v>
      </c>
      <c r="O33" s="54">
        <f t="shared" si="0"/>
        <v>374391.8</v>
      </c>
    </row>
    <row r="34" spans="1:15">
      <c r="A34" s="286"/>
      <c r="B34" s="285" t="s">
        <v>29</v>
      </c>
      <c r="C34" s="286">
        <v>66432.36</v>
      </c>
      <c r="D34" s="286">
        <v>57384.23</v>
      </c>
      <c r="E34" s="286">
        <v>34016.79</v>
      </c>
      <c r="F34" s="286">
        <v>22588.73</v>
      </c>
      <c r="G34" s="286">
        <v>12336.03</v>
      </c>
      <c r="H34" s="286">
        <v>8767.91</v>
      </c>
      <c r="I34" s="286">
        <v>7820.15</v>
      </c>
      <c r="J34" s="286">
        <v>7480.27</v>
      </c>
      <c r="K34" s="286">
        <v>8276.94</v>
      </c>
      <c r="L34" s="286">
        <v>12947.16</v>
      </c>
      <c r="M34" s="286">
        <v>28890.94</v>
      </c>
      <c r="N34" s="286">
        <v>36996.25</v>
      </c>
      <c r="O34" s="53">
        <f t="shared" si="0"/>
        <v>303937.76</v>
      </c>
    </row>
    <row r="35" spans="1:15">
      <c r="A35" s="286"/>
      <c r="B35" s="285" t="s">
        <v>30</v>
      </c>
      <c r="C35" s="286">
        <v>6776.52</v>
      </c>
      <c r="D35" s="286">
        <v>5771.15</v>
      </c>
      <c r="E35" s="286">
        <v>4301.3500000000004</v>
      </c>
      <c r="F35" s="286">
        <v>2714.69</v>
      </c>
      <c r="G35" s="286">
        <v>920.74</v>
      </c>
      <c r="H35" s="286">
        <v>873.91</v>
      </c>
      <c r="I35" s="286">
        <v>571.41</v>
      </c>
      <c r="J35" s="286">
        <v>507.87</v>
      </c>
      <c r="K35" s="286">
        <v>611.74</v>
      </c>
      <c r="L35" s="286">
        <v>712.94</v>
      </c>
      <c r="M35" s="286">
        <v>1570.33</v>
      </c>
      <c r="N35" s="286">
        <v>2843.53</v>
      </c>
      <c r="O35" s="53">
        <f t="shared" si="0"/>
        <v>28176.18</v>
      </c>
    </row>
    <row r="36" spans="1:15">
      <c r="A36" s="286"/>
      <c r="B36" s="285" t="s">
        <v>31</v>
      </c>
      <c r="C36" s="286">
        <v>52722.559999999998</v>
      </c>
      <c r="D36" s="286">
        <v>44536.19</v>
      </c>
      <c r="E36" s="286">
        <v>33667.65</v>
      </c>
      <c r="F36" s="286">
        <v>23989.64</v>
      </c>
      <c r="G36" s="286">
        <v>12731.47</v>
      </c>
      <c r="H36" s="286">
        <v>8135.82</v>
      </c>
      <c r="I36" s="286">
        <v>7456.38</v>
      </c>
      <c r="J36" s="286">
        <v>6825.3</v>
      </c>
      <c r="K36" s="286">
        <v>7868.96</v>
      </c>
      <c r="L36" s="286">
        <v>8253.2199999999993</v>
      </c>
      <c r="M36" s="286">
        <v>14514.5</v>
      </c>
      <c r="N36" s="286">
        <v>19347.84</v>
      </c>
      <c r="O36" s="53">
        <f t="shared" si="0"/>
        <v>240049.52999999997</v>
      </c>
    </row>
    <row r="37" spans="1:15">
      <c r="A37" s="286"/>
      <c r="B37" s="285" t="s">
        <v>32</v>
      </c>
      <c r="C37" s="286">
        <v>21023</v>
      </c>
      <c r="D37" s="286">
        <v>18693.87</v>
      </c>
      <c r="E37" s="286">
        <v>12444.78</v>
      </c>
      <c r="F37" s="286">
        <v>9447.5499999999993</v>
      </c>
      <c r="G37" s="286">
        <v>5355.47</v>
      </c>
      <c r="H37" s="286">
        <v>3920.99</v>
      </c>
      <c r="I37" s="286">
        <v>3424.58</v>
      </c>
      <c r="J37" s="286">
        <v>3535.7</v>
      </c>
      <c r="K37" s="286">
        <v>3886.82</v>
      </c>
      <c r="L37" s="286">
        <v>4934.8900000000003</v>
      </c>
      <c r="M37" s="286">
        <v>8714.2900000000009</v>
      </c>
      <c r="N37" s="286">
        <v>11240.56</v>
      </c>
      <c r="O37" s="53">
        <f t="shared" si="0"/>
        <v>106622.5</v>
      </c>
    </row>
    <row r="38" spans="1:15">
      <c r="A38" s="286"/>
      <c r="B38" s="285" t="s">
        <v>33</v>
      </c>
      <c r="C38" s="286">
        <v>2399.92</v>
      </c>
      <c r="D38" s="286">
        <v>1778.96</v>
      </c>
      <c r="E38" s="286">
        <v>1510.56</v>
      </c>
      <c r="F38" s="286">
        <v>1196.8699999999999</v>
      </c>
      <c r="G38" s="286">
        <v>661.94</v>
      </c>
      <c r="H38" s="286">
        <v>423.75</v>
      </c>
      <c r="I38" s="286">
        <v>445.37</v>
      </c>
      <c r="J38" s="286">
        <v>381.38</v>
      </c>
      <c r="K38" s="286">
        <v>770.56</v>
      </c>
      <c r="L38" s="286">
        <v>942.52</v>
      </c>
      <c r="M38" s="286">
        <v>1419.88</v>
      </c>
      <c r="N38" s="286">
        <v>1843.95</v>
      </c>
      <c r="O38" s="53">
        <f t="shared" si="0"/>
        <v>13775.66</v>
      </c>
    </row>
    <row r="39" spans="1:15">
      <c r="A39" s="286"/>
      <c r="B39" s="285" t="s">
        <v>34</v>
      </c>
      <c r="C39" s="286">
        <v>8452.7000000000007</v>
      </c>
      <c r="D39" s="286">
        <v>7292.94</v>
      </c>
      <c r="E39" s="286">
        <v>4552.1400000000003</v>
      </c>
      <c r="F39" s="286">
        <v>3211.63</v>
      </c>
      <c r="G39" s="286">
        <v>1398.06</v>
      </c>
      <c r="H39" s="286">
        <v>889.63</v>
      </c>
      <c r="I39" s="286">
        <v>850.86</v>
      </c>
      <c r="J39" s="286">
        <v>871.5</v>
      </c>
      <c r="K39" s="286">
        <v>937.17</v>
      </c>
      <c r="L39" s="286">
        <v>1624.84</v>
      </c>
      <c r="M39" s="286">
        <v>3614.21</v>
      </c>
      <c r="N39" s="286">
        <v>4305.4399999999996</v>
      </c>
      <c r="O39" s="53">
        <f t="shared" si="0"/>
        <v>38001.120000000003</v>
      </c>
    </row>
    <row r="40" spans="1:15">
      <c r="A40" s="286"/>
      <c r="B40" s="285" t="s">
        <v>35</v>
      </c>
      <c r="C40" s="286">
        <v>2036.47</v>
      </c>
      <c r="D40" s="286">
        <v>1506.82</v>
      </c>
      <c r="E40" s="286">
        <v>1165.5999999999999</v>
      </c>
      <c r="F40" s="286">
        <v>716.36</v>
      </c>
      <c r="G40" s="286">
        <v>132.94</v>
      </c>
      <c r="H40" s="286">
        <v>180.84</v>
      </c>
      <c r="I40" s="286">
        <v>357.72</v>
      </c>
      <c r="J40" s="286">
        <v>335.86</v>
      </c>
      <c r="K40" s="286">
        <v>402.09</v>
      </c>
      <c r="L40" s="286">
        <v>444.37</v>
      </c>
      <c r="M40" s="286">
        <v>750.91</v>
      </c>
      <c r="N40" s="286">
        <v>1184.5</v>
      </c>
      <c r="O40" s="53">
        <f t="shared" si="0"/>
        <v>9214.48</v>
      </c>
    </row>
    <row r="41" spans="1:15">
      <c r="A41" s="286"/>
      <c r="B41" s="285" t="s">
        <v>36</v>
      </c>
      <c r="C41" s="286">
        <v>20698.41</v>
      </c>
      <c r="D41" s="286">
        <v>16629.2</v>
      </c>
      <c r="E41" s="286">
        <v>11106.11</v>
      </c>
      <c r="F41" s="286">
        <v>8353.02</v>
      </c>
      <c r="G41" s="286">
        <v>3532.61</v>
      </c>
      <c r="H41" s="286">
        <v>2616.15</v>
      </c>
      <c r="I41" s="286">
        <v>2234.8200000000002</v>
      </c>
      <c r="J41" s="286">
        <v>2190.4899999999998</v>
      </c>
      <c r="K41" s="286">
        <v>2223.8200000000002</v>
      </c>
      <c r="L41" s="286">
        <v>3160.66</v>
      </c>
      <c r="M41" s="286">
        <v>7699.25</v>
      </c>
      <c r="N41" s="286">
        <v>10482.629999999999</v>
      </c>
      <c r="O41" s="53">
        <f t="shared" si="0"/>
        <v>90927.170000000027</v>
      </c>
    </row>
    <row r="42" spans="1:15">
      <c r="A42" s="286"/>
      <c r="B42" s="285" t="s">
        <v>37</v>
      </c>
      <c r="C42" s="286">
        <v>2917.53</v>
      </c>
      <c r="D42" s="286">
        <v>2007.07</v>
      </c>
      <c r="E42" s="286">
        <v>1387.61</v>
      </c>
      <c r="F42" s="286">
        <v>1013.31</v>
      </c>
      <c r="G42" s="286">
        <v>671.79</v>
      </c>
      <c r="H42" s="286">
        <v>625.09</v>
      </c>
      <c r="I42" s="286">
        <v>634.46</v>
      </c>
      <c r="J42" s="286">
        <v>594</v>
      </c>
      <c r="K42" s="286">
        <v>672.41</v>
      </c>
      <c r="L42" s="286">
        <v>837.58</v>
      </c>
      <c r="M42" s="286">
        <v>1288.1400000000001</v>
      </c>
      <c r="N42" s="286">
        <v>1639.85</v>
      </c>
      <c r="O42" s="53">
        <f t="shared" si="0"/>
        <v>14288.84</v>
      </c>
    </row>
    <row r="43" spans="1:15">
      <c r="A43" s="286"/>
      <c r="B43" s="285" t="s">
        <v>38</v>
      </c>
      <c r="C43" s="286">
        <v>14582.91</v>
      </c>
      <c r="D43" s="286">
        <v>11608.47</v>
      </c>
      <c r="E43" s="286">
        <v>9250.0499999999993</v>
      </c>
      <c r="F43" s="286">
        <v>6588.3</v>
      </c>
      <c r="G43" s="286">
        <v>2623.98</v>
      </c>
      <c r="H43" s="286">
        <v>1560.72</v>
      </c>
      <c r="I43" s="286">
        <v>1681.55</v>
      </c>
      <c r="J43" s="286">
        <v>1400.39</v>
      </c>
      <c r="K43" s="286">
        <v>1533.77</v>
      </c>
      <c r="L43" s="286">
        <v>2115.9499999999998</v>
      </c>
      <c r="M43" s="286">
        <v>3955.98</v>
      </c>
      <c r="N43" s="286">
        <v>6155.22</v>
      </c>
      <c r="O43" s="53">
        <f t="shared" si="0"/>
        <v>63057.29</v>
      </c>
    </row>
    <row r="44" spans="1:15">
      <c r="A44" s="286"/>
      <c r="B44" s="285" t="s">
        <v>39</v>
      </c>
      <c r="C44" s="286">
        <v>32739</v>
      </c>
      <c r="D44" s="286">
        <v>28453.18</v>
      </c>
      <c r="E44" s="286">
        <v>21041.37</v>
      </c>
      <c r="F44" s="286">
        <v>17025.32</v>
      </c>
      <c r="G44" s="286">
        <v>10349.06</v>
      </c>
      <c r="H44" s="286">
        <v>8989.4500000000007</v>
      </c>
      <c r="I44" s="286">
        <v>7528.43</v>
      </c>
      <c r="J44" s="286">
        <v>7132.26</v>
      </c>
      <c r="K44" s="286">
        <v>7711.16</v>
      </c>
      <c r="L44" s="286">
        <v>9400.5400000000009</v>
      </c>
      <c r="M44" s="286">
        <v>14141.8</v>
      </c>
      <c r="N44" s="286">
        <v>17755.21</v>
      </c>
      <c r="O44" s="53">
        <f t="shared" si="0"/>
        <v>182266.78</v>
      </c>
    </row>
    <row r="45" spans="1:15">
      <c r="A45" s="286"/>
      <c r="B45" s="285" t="s">
        <v>40</v>
      </c>
      <c r="C45" s="286">
        <v>6257.97</v>
      </c>
      <c r="D45" s="286">
        <v>3998.02</v>
      </c>
      <c r="E45" s="286">
        <v>2978.48</v>
      </c>
      <c r="F45" s="286">
        <v>2073.89</v>
      </c>
      <c r="G45" s="286">
        <v>919.08</v>
      </c>
      <c r="H45" s="286">
        <v>665.09</v>
      </c>
      <c r="I45" s="286">
        <v>410.1</v>
      </c>
      <c r="J45" s="286">
        <v>447.12</v>
      </c>
      <c r="K45" s="286">
        <v>429.79</v>
      </c>
      <c r="L45" s="286">
        <v>680.21</v>
      </c>
      <c r="M45" s="286">
        <v>1704.17</v>
      </c>
      <c r="N45" s="286">
        <v>2771.33</v>
      </c>
      <c r="O45" s="53">
        <f t="shared" si="0"/>
        <v>23335.25</v>
      </c>
    </row>
    <row r="46" spans="1:15">
      <c r="A46" s="286"/>
      <c r="B46" s="285" t="s">
        <v>41</v>
      </c>
      <c r="C46" s="286">
        <v>38753.49</v>
      </c>
      <c r="D46" s="286">
        <v>31425.91</v>
      </c>
      <c r="E46" s="286">
        <v>21640.89</v>
      </c>
      <c r="F46" s="286">
        <v>16326.76</v>
      </c>
      <c r="G46" s="286">
        <v>7847.99</v>
      </c>
      <c r="H46" s="286">
        <v>5832.64</v>
      </c>
      <c r="I46" s="286">
        <v>5656.54</v>
      </c>
      <c r="J46" s="286">
        <v>5938.53</v>
      </c>
      <c r="K46" s="286">
        <v>6534.98</v>
      </c>
      <c r="L46" s="286">
        <v>8264.06</v>
      </c>
      <c r="M46" s="286">
        <v>15537.05</v>
      </c>
      <c r="N46" s="286">
        <v>22853.54</v>
      </c>
      <c r="O46" s="53">
        <f t="shared" si="0"/>
        <v>186612.38</v>
      </c>
    </row>
    <row r="47" spans="1:15" s="287" customFormat="1">
      <c r="A47" s="8"/>
      <c r="B47" s="9" t="s">
        <v>42</v>
      </c>
      <c r="C47" s="8">
        <v>391857</v>
      </c>
      <c r="D47" s="8">
        <v>327340.69</v>
      </c>
      <c r="E47" s="8">
        <v>227364.52</v>
      </c>
      <c r="F47" s="8">
        <v>166912.43</v>
      </c>
      <c r="G47" s="8">
        <v>87993.34</v>
      </c>
      <c r="H47" s="8">
        <v>63776.22</v>
      </c>
      <c r="I47" s="8">
        <v>58470.68</v>
      </c>
      <c r="J47" s="8">
        <v>57399.44</v>
      </c>
      <c r="K47" s="8">
        <v>65078.45</v>
      </c>
      <c r="L47" s="8">
        <v>84733.86</v>
      </c>
      <c r="M47" s="8">
        <v>150392.64000000001</v>
      </c>
      <c r="N47" s="8">
        <v>202924.52</v>
      </c>
      <c r="O47" s="53">
        <f t="shared" si="0"/>
        <v>1884243.79</v>
      </c>
    </row>
    <row r="48" spans="1:15">
      <c r="A48" s="286"/>
      <c r="B48" s="285"/>
      <c r="C48" s="286"/>
      <c r="D48" s="286"/>
      <c r="E48" s="286"/>
      <c r="F48" s="286"/>
      <c r="G48" s="286"/>
      <c r="H48" s="286"/>
      <c r="I48" s="286"/>
      <c r="J48" s="286"/>
      <c r="K48" s="286"/>
      <c r="L48" s="286"/>
      <c r="M48" s="286"/>
      <c r="N48" s="286"/>
      <c r="O48" s="53"/>
    </row>
    <row r="49" spans="1:15">
      <c r="A49" s="285" t="s">
        <v>44</v>
      </c>
      <c r="B49" s="285" t="s">
        <v>26</v>
      </c>
      <c r="C49" s="286">
        <v>11360.98</v>
      </c>
      <c r="D49" s="286">
        <v>11004.32</v>
      </c>
      <c r="E49" s="286">
        <v>9255.59</v>
      </c>
      <c r="F49" s="286">
        <v>7642.66</v>
      </c>
      <c r="G49" s="286">
        <v>7200.26</v>
      </c>
      <c r="H49" s="286">
        <v>7553.59</v>
      </c>
      <c r="I49" s="286">
        <v>6981.14</v>
      </c>
      <c r="J49" s="286">
        <v>5140.62</v>
      </c>
      <c r="K49" s="286">
        <v>6502.68</v>
      </c>
      <c r="L49" s="286">
        <v>6380.14</v>
      </c>
      <c r="M49" s="286">
        <v>10291.73</v>
      </c>
      <c r="N49" s="286">
        <v>8961.68</v>
      </c>
      <c r="O49" s="53">
        <f t="shared" si="0"/>
        <v>98275.389999999985</v>
      </c>
    </row>
    <row r="50" spans="1:15">
      <c r="A50" s="286"/>
      <c r="B50" s="285" t="s">
        <v>27</v>
      </c>
      <c r="C50" s="286">
        <v>13924.1</v>
      </c>
      <c r="D50" s="286">
        <v>12649.1</v>
      </c>
      <c r="E50" s="286">
        <v>8025.7</v>
      </c>
      <c r="F50" s="286">
        <v>4174.7</v>
      </c>
      <c r="G50" s="286">
        <v>1706.8</v>
      </c>
      <c r="H50" s="286">
        <v>338</v>
      </c>
      <c r="I50" s="286">
        <v>338</v>
      </c>
      <c r="J50" s="286">
        <v>152</v>
      </c>
      <c r="K50" s="286">
        <v>419.1</v>
      </c>
      <c r="L50" s="286">
        <v>1692.5</v>
      </c>
      <c r="M50" s="286">
        <v>4775.8999999999996</v>
      </c>
      <c r="N50" s="286">
        <v>6758.2</v>
      </c>
      <c r="O50" s="53">
        <f t="shared" si="0"/>
        <v>54954.1</v>
      </c>
    </row>
    <row r="51" spans="1:15">
      <c r="A51" s="286"/>
      <c r="B51" s="295" t="s">
        <v>28</v>
      </c>
      <c r="C51" s="296">
        <v>3827.6</v>
      </c>
      <c r="D51" s="296">
        <v>8261.7000000000007</v>
      </c>
      <c r="E51" s="296">
        <v>5337.1</v>
      </c>
      <c r="F51" s="296">
        <v>10612.63</v>
      </c>
      <c r="G51" s="296">
        <v>10868.93</v>
      </c>
      <c r="H51" s="296">
        <v>9870.0400000000009</v>
      </c>
      <c r="I51" s="296">
        <v>7185.59</v>
      </c>
      <c r="J51" s="296">
        <v>8081.21</v>
      </c>
      <c r="K51" s="296">
        <v>6901.75</v>
      </c>
      <c r="L51" s="296">
        <v>3749.51</v>
      </c>
      <c r="M51" s="296">
        <v>5257.96</v>
      </c>
      <c r="N51" s="296">
        <v>4447.62</v>
      </c>
      <c r="O51" s="54">
        <f t="shared" si="0"/>
        <v>84401.639999999985</v>
      </c>
    </row>
    <row r="52" spans="1:15">
      <c r="A52" s="286"/>
      <c r="B52" s="285" t="s">
        <v>29</v>
      </c>
      <c r="C52" s="286">
        <v>17960.560000000001</v>
      </c>
      <c r="D52" s="286">
        <v>16500.400000000001</v>
      </c>
      <c r="E52" s="286">
        <v>17028.009999999998</v>
      </c>
      <c r="F52" s="286">
        <v>13115.08</v>
      </c>
      <c r="G52" s="286">
        <v>10535.39</v>
      </c>
      <c r="H52" s="286">
        <v>9089.93</v>
      </c>
      <c r="I52" s="286">
        <v>6044.27</v>
      </c>
      <c r="J52" s="286">
        <v>9806.69</v>
      </c>
      <c r="K52" s="286">
        <v>7092.11</v>
      </c>
      <c r="L52" s="286">
        <v>12355.43</v>
      </c>
      <c r="M52" s="286">
        <v>13456.28</v>
      </c>
      <c r="N52" s="286">
        <v>11946.74</v>
      </c>
      <c r="O52" s="53">
        <f t="shared" si="0"/>
        <v>144930.88999999998</v>
      </c>
    </row>
    <row r="53" spans="1:15">
      <c r="A53" s="286"/>
      <c r="B53" s="285" t="s">
        <v>30</v>
      </c>
      <c r="C53" s="286">
        <v>6266.82</v>
      </c>
      <c r="D53" s="286">
        <v>5194.26</v>
      </c>
      <c r="E53" s="286">
        <v>4078.67</v>
      </c>
      <c r="F53" s="286">
        <v>3506.74</v>
      </c>
      <c r="G53" s="286">
        <v>1849.33</v>
      </c>
      <c r="H53" s="286">
        <v>2486.64</v>
      </c>
      <c r="I53" s="286">
        <v>1865.82</v>
      </c>
      <c r="J53" s="286">
        <v>1727.51</v>
      </c>
      <c r="K53" s="286">
        <v>1666.63</v>
      </c>
      <c r="L53" s="286">
        <v>2224.6799999999998</v>
      </c>
      <c r="M53" s="286">
        <v>3158.62</v>
      </c>
      <c r="N53" s="286">
        <v>3546.94</v>
      </c>
      <c r="O53" s="53">
        <f t="shared" si="0"/>
        <v>37572.660000000003</v>
      </c>
    </row>
    <row r="54" spans="1:15">
      <c r="A54" s="286"/>
      <c r="B54" s="285" t="s">
        <v>31</v>
      </c>
      <c r="C54" s="286">
        <v>55976.15</v>
      </c>
      <c r="D54" s="286">
        <v>53248.14</v>
      </c>
      <c r="E54" s="286">
        <v>47654.51</v>
      </c>
      <c r="F54" s="286">
        <v>50350.07</v>
      </c>
      <c r="G54" s="286">
        <v>45955.8</v>
      </c>
      <c r="H54" s="286">
        <v>47698.400000000001</v>
      </c>
      <c r="I54" s="286">
        <v>45640.57</v>
      </c>
      <c r="J54" s="286">
        <v>47434.85</v>
      </c>
      <c r="K54" s="286">
        <v>48651.08</v>
      </c>
      <c r="L54" s="286">
        <v>44838.8</v>
      </c>
      <c r="M54" s="286">
        <v>47080.89</v>
      </c>
      <c r="N54" s="286">
        <v>46884.82</v>
      </c>
      <c r="O54" s="53">
        <f t="shared" si="0"/>
        <v>581414.07999999996</v>
      </c>
    </row>
    <row r="55" spans="1:15">
      <c r="A55" s="286"/>
      <c r="B55" s="285" t="s">
        <v>32</v>
      </c>
      <c r="C55" s="286">
        <v>24308.39</v>
      </c>
      <c r="D55" s="286">
        <v>16875</v>
      </c>
      <c r="E55" s="286">
        <v>11810.92</v>
      </c>
      <c r="F55" s="286">
        <v>8030.57</v>
      </c>
      <c r="G55" s="286">
        <v>4490.58</v>
      </c>
      <c r="H55" s="286">
        <v>5369.98</v>
      </c>
      <c r="I55" s="286">
        <v>4932.4799999999996</v>
      </c>
      <c r="J55" s="286">
        <v>4985.45</v>
      </c>
      <c r="K55" s="286">
        <v>4748.2</v>
      </c>
      <c r="L55" s="286">
        <v>8936.36</v>
      </c>
      <c r="M55" s="286">
        <v>12583.74</v>
      </c>
      <c r="N55" s="286">
        <v>15617.81</v>
      </c>
      <c r="O55" s="53">
        <f t="shared" si="0"/>
        <v>122689.48</v>
      </c>
    </row>
    <row r="56" spans="1:15">
      <c r="A56" s="286"/>
      <c r="B56" s="285" t="s">
        <v>33</v>
      </c>
      <c r="C56" s="285" t="s">
        <v>45</v>
      </c>
      <c r="D56" s="285" t="s">
        <v>45</v>
      </c>
      <c r="E56" s="285" t="s">
        <v>45</v>
      </c>
      <c r="F56" s="285" t="s">
        <v>45</v>
      </c>
      <c r="G56" s="285" t="s">
        <v>45</v>
      </c>
      <c r="H56" s="285" t="s">
        <v>45</v>
      </c>
      <c r="I56" s="285" t="s">
        <v>45</v>
      </c>
      <c r="J56" s="285" t="s">
        <v>45</v>
      </c>
      <c r="K56" s="285" t="s">
        <v>45</v>
      </c>
      <c r="L56" s="285" t="s">
        <v>45</v>
      </c>
      <c r="M56" s="285" t="s">
        <v>45</v>
      </c>
      <c r="N56" s="285" t="s">
        <v>45</v>
      </c>
      <c r="O56" s="53">
        <f t="shared" si="0"/>
        <v>0</v>
      </c>
    </row>
    <row r="57" spans="1:15">
      <c r="A57" s="286"/>
      <c r="B57" s="285" t="s">
        <v>34</v>
      </c>
      <c r="C57" s="285" t="s">
        <v>45</v>
      </c>
      <c r="D57" s="285" t="s">
        <v>45</v>
      </c>
      <c r="E57" s="285" t="s">
        <v>45</v>
      </c>
      <c r="F57" s="285" t="s">
        <v>45</v>
      </c>
      <c r="G57" s="285" t="s">
        <v>45</v>
      </c>
      <c r="H57" s="285" t="s">
        <v>45</v>
      </c>
      <c r="I57" s="285" t="s">
        <v>45</v>
      </c>
      <c r="J57" s="285" t="s">
        <v>45</v>
      </c>
      <c r="K57" s="285" t="s">
        <v>45</v>
      </c>
      <c r="L57" s="285" t="s">
        <v>45</v>
      </c>
      <c r="M57" s="285" t="s">
        <v>45</v>
      </c>
      <c r="N57" s="285" t="s">
        <v>45</v>
      </c>
      <c r="O57" s="53">
        <f t="shared" si="0"/>
        <v>0</v>
      </c>
    </row>
    <row r="58" spans="1:15">
      <c r="A58" s="286"/>
      <c r="B58" s="285" t="s">
        <v>35</v>
      </c>
      <c r="C58" s="286">
        <v>3664.16</v>
      </c>
      <c r="D58" s="286">
        <v>2363.16</v>
      </c>
      <c r="E58" s="286">
        <v>1182.4100000000001</v>
      </c>
      <c r="F58" s="286">
        <v>571.28</v>
      </c>
      <c r="G58" s="285" t="s">
        <v>45</v>
      </c>
      <c r="H58" s="285" t="s">
        <v>45</v>
      </c>
      <c r="I58" s="285" t="s">
        <v>45</v>
      </c>
      <c r="J58" s="285" t="s">
        <v>45</v>
      </c>
      <c r="K58" s="285" t="s">
        <v>45</v>
      </c>
      <c r="L58" s="286">
        <v>155.5</v>
      </c>
      <c r="M58" s="286">
        <v>409.45</v>
      </c>
      <c r="N58" s="286">
        <v>1092.77</v>
      </c>
      <c r="O58" s="53">
        <f t="shared" si="0"/>
        <v>9438.73</v>
      </c>
    </row>
    <row r="59" spans="1:15">
      <c r="A59" s="286"/>
      <c r="B59" s="285" t="s">
        <v>36</v>
      </c>
      <c r="C59" s="286">
        <v>22855.78</v>
      </c>
      <c r="D59" s="286">
        <v>22652.38</v>
      </c>
      <c r="E59" s="286">
        <v>21895.71</v>
      </c>
      <c r="F59" s="286">
        <v>17478.12</v>
      </c>
      <c r="G59" s="286">
        <v>15720.28</v>
      </c>
      <c r="H59" s="286">
        <v>14440.02</v>
      </c>
      <c r="I59" s="286">
        <v>12725.55</v>
      </c>
      <c r="J59" s="286">
        <v>13046.31</v>
      </c>
      <c r="K59" s="286">
        <v>13813.7</v>
      </c>
      <c r="L59" s="286">
        <v>15055.04</v>
      </c>
      <c r="M59" s="286">
        <v>17500.79</v>
      </c>
      <c r="N59" s="286">
        <v>20853.349999999999</v>
      </c>
      <c r="O59" s="53">
        <f t="shared" si="0"/>
        <v>208037.03000000003</v>
      </c>
    </row>
    <row r="60" spans="1:15">
      <c r="A60" s="286"/>
      <c r="B60" s="285" t="s">
        <v>37</v>
      </c>
      <c r="C60" s="285" t="s">
        <v>45</v>
      </c>
      <c r="D60" s="285" t="s">
        <v>45</v>
      </c>
      <c r="E60" s="285" t="s">
        <v>45</v>
      </c>
      <c r="F60" s="285" t="s">
        <v>45</v>
      </c>
      <c r="G60" s="285" t="s">
        <v>45</v>
      </c>
      <c r="H60" s="285" t="s">
        <v>45</v>
      </c>
      <c r="I60" s="285" t="s">
        <v>45</v>
      </c>
      <c r="J60" s="285" t="s">
        <v>45</v>
      </c>
      <c r="K60" s="285" t="s">
        <v>45</v>
      </c>
      <c r="L60" s="285" t="s">
        <v>45</v>
      </c>
      <c r="M60" s="285" t="s">
        <v>45</v>
      </c>
      <c r="N60" s="285" t="s">
        <v>45</v>
      </c>
      <c r="O60" s="53">
        <f t="shared" si="0"/>
        <v>0</v>
      </c>
    </row>
    <row r="61" spans="1:15">
      <c r="A61" s="286"/>
      <c r="B61" s="285" t="s">
        <v>38</v>
      </c>
      <c r="C61" s="286">
        <v>11265.7</v>
      </c>
      <c r="D61" s="286">
        <v>8569.58</v>
      </c>
      <c r="E61" s="286">
        <v>8174.27</v>
      </c>
      <c r="F61" s="286">
        <v>6688.57</v>
      </c>
      <c r="G61" s="286">
        <v>4048.39</v>
      </c>
      <c r="H61" s="286">
        <v>4392.3999999999996</v>
      </c>
      <c r="I61" s="286">
        <v>3614.75</v>
      </c>
      <c r="J61" s="286">
        <v>3287.75</v>
      </c>
      <c r="K61" s="286">
        <v>4252.67</v>
      </c>
      <c r="L61" s="286">
        <v>3788.94</v>
      </c>
      <c r="M61" s="286">
        <v>11321.63</v>
      </c>
      <c r="N61" s="286">
        <v>7464.69</v>
      </c>
      <c r="O61" s="53">
        <f t="shared" si="0"/>
        <v>76869.34</v>
      </c>
    </row>
    <row r="62" spans="1:15">
      <c r="A62" s="286"/>
      <c r="B62" s="285" t="s">
        <v>39</v>
      </c>
      <c r="C62" s="286">
        <v>8257.02</v>
      </c>
      <c r="D62" s="286">
        <v>6998.61</v>
      </c>
      <c r="E62" s="286">
        <v>5965.31</v>
      </c>
      <c r="F62" s="286">
        <v>6289.39</v>
      </c>
      <c r="G62" s="286">
        <v>5578.04</v>
      </c>
      <c r="H62" s="286">
        <v>6455.59</v>
      </c>
      <c r="I62" s="286">
        <v>4091.1</v>
      </c>
      <c r="J62" s="286">
        <v>5350.06</v>
      </c>
      <c r="K62" s="286">
        <v>5227.5</v>
      </c>
      <c r="L62" s="286">
        <v>5086.8100000000004</v>
      </c>
      <c r="M62" s="286">
        <v>5134.8599999999997</v>
      </c>
      <c r="N62" s="286">
        <v>6087.6</v>
      </c>
      <c r="O62" s="53">
        <f t="shared" si="0"/>
        <v>70521.89</v>
      </c>
    </row>
    <row r="63" spans="1:15">
      <c r="A63" s="286"/>
      <c r="B63" s="285" t="s">
        <v>40</v>
      </c>
      <c r="C63" s="286">
        <v>2699.28</v>
      </c>
      <c r="D63" s="286">
        <v>4747.8599999999997</v>
      </c>
      <c r="E63" s="286">
        <v>4760.71</v>
      </c>
      <c r="F63" s="286">
        <v>3797.25</v>
      </c>
      <c r="G63" s="286">
        <v>2680.06</v>
      </c>
      <c r="H63" s="286">
        <v>2347.42</v>
      </c>
      <c r="I63" s="286">
        <v>1772.79</v>
      </c>
      <c r="J63" s="286">
        <v>2133.13</v>
      </c>
      <c r="K63" s="286">
        <v>1622.11</v>
      </c>
      <c r="L63" s="286">
        <v>1113.74</v>
      </c>
      <c r="M63" s="286">
        <v>3080.16</v>
      </c>
      <c r="N63" s="286">
        <v>4056.07</v>
      </c>
      <c r="O63" s="53">
        <f t="shared" si="0"/>
        <v>34810.580000000009</v>
      </c>
    </row>
    <row r="64" spans="1:15">
      <c r="A64" s="286"/>
      <c r="B64" s="285" t="s">
        <v>41</v>
      </c>
      <c r="C64" s="286">
        <v>42174.17</v>
      </c>
      <c r="D64" s="286">
        <v>42525.5</v>
      </c>
      <c r="E64" s="286">
        <v>49121.55</v>
      </c>
      <c r="F64" s="286">
        <v>46069.51</v>
      </c>
      <c r="G64" s="286">
        <v>43181.760000000002</v>
      </c>
      <c r="H64" s="286">
        <v>39921.14</v>
      </c>
      <c r="I64" s="286">
        <v>38288.51</v>
      </c>
      <c r="J64" s="286">
        <v>30345.05</v>
      </c>
      <c r="K64" s="286">
        <v>7064.79</v>
      </c>
      <c r="L64" s="286">
        <v>7319.94</v>
      </c>
      <c r="M64" s="286">
        <v>8438.5499999999993</v>
      </c>
      <c r="N64" s="286">
        <v>7792.91</v>
      </c>
      <c r="O64" s="53">
        <f t="shared" si="0"/>
        <v>362243.37999999995</v>
      </c>
    </row>
    <row r="65" spans="1:15" s="287" customFormat="1">
      <c r="A65" s="8"/>
      <c r="B65" s="9" t="s">
        <v>42</v>
      </c>
      <c r="C65" s="8">
        <v>224540.71</v>
      </c>
      <c r="D65" s="8">
        <v>211590.01</v>
      </c>
      <c r="E65" s="8">
        <v>194290.46</v>
      </c>
      <c r="F65" s="8">
        <v>178326.57</v>
      </c>
      <c r="G65" s="8">
        <v>153815.62</v>
      </c>
      <c r="H65" s="8">
        <v>149963.15</v>
      </c>
      <c r="I65" s="8">
        <v>133480.57</v>
      </c>
      <c r="J65" s="8">
        <v>131490.63</v>
      </c>
      <c r="K65" s="8">
        <v>107962.32</v>
      </c>
      <c r="L65" s="8">
        <v>112697.39</v>
      </c>
      <c r="M65" s="8">
        <v>142490.56</v>
      </c>
      <c r="N65" s="8">
        <v>145511.20000000001</v>
      </c>
      <c r="O65" s="53">
        <f t="shared" si="0"/>
        <v>1886159.1900000002</v>
      </c>
    </row>
    <row r="66" spans="1:15">
      <c r="A66" s="286"/>
      <c r="B66" s="285"/>
      <c r="C66" s="286"/>
      <c r="D66" s="286"/>
      <c r="E66" s="286"/>
      <c r="F66" s="286"/>
      <c r="G66" s="286"/>
      <c r="H66" s="286"/>
      <c r="I66" s="286"/>
      <c r="J66" s="286"/>
      <c r="K66" s="286"/>
      <c r="L66" s="286"/>
      <c r="M66" s="286"/>
      <c r="N66" s="286"/>
      <c r="O66" s="53"/>
    </row>
    <row r="67" spans="1:15">
      <c r="A67" s="285" t="s">
        <v>46</v>
      </c>
      <c r="B67" s="285" t="s">
        <v>26</v>
      </c>
      <c r="C67" s="286">
        <v>74.099999999999994</v>
      </c>
      <c r="D67" s="286">
        <v>70</v>
      </c>
      <c r="E67" s="286">
        <v>46</v>
      </c>
      <c r="F67" s="286">
        <v>26.7</v>
      </c>
      <c r="G67" s="286">
        <v>17.600000000000001</v>
      </c>
      <c r="H67" s="286">
        <v>5.8</v>
      </c>
      <c r="I67" s="286">
        <v>5.3</v>
      </c>
      <c r="J67" s="286">
        <v>5.7</v>
      </c>
      <c r="K67" s="286">
        <v>4.7</v>
      </c>
      <c r="L67" s="286">
        <v>12.9</v>
      </c>
      <c r="M67" s="286">
        <v>18.399999999999999</v>
      </c>
      <c r="N67" s="286">
        <v>24.3</v>
      </c>
      <c r="O67" s="53">
        <f t="shared" si="0"/>
        <v>311.49999999999994</v>
      </c>
    </row>
    <row r="68" spans="1:15">
      <c r="A68" s="286"/>
      <c r="B68" s="285" t="s">
        <v>27</v>
      </c>
      <c r="C68" s="285" t="s">
        <v>45</v>
      </c>
      <c r="D68" s="285" t="s">
        <v>45</v>
      </c>
      <c r="E68" s="285" t="s">
        <v>45</v>
      </c>
      <c r="F68" s="285" t="s">
        <v>45</v>
      </c>
      <c r="G68" s="285" t="s">
        <v>45</v>
      </c>
      <c r="H68" s="285" t="s">
        <v>45</v>
      </c>
      <c r="I68" s="285" t="s">
        <v>45</v>
      </c>
      <c r="J68" s="285" t="s">
        <v>45</v>
      </c>
      <c r="K68" s="285" t="s">
        <v>45</v>
      </c>
      <c r="L68" s="285" t="s">
        <v>45</v>
      </c>
      <c r="M68" s="285" t="s">
        <v>45</v>
      </c>
      <c r="N68" s="285" t="s">
        <v>45</v>
      </c>
      <c r="O68" s="53">
        <f t="shared" si="0"/>
        <v>0</v>
      </c>
    </row>
    <row r="69" spans="1:15">
      <c r="A69" s="286"/>
      <c r="B69" s="295" t="s">
        <v>28</v>
      </c>
      <c r="C69" s="296">
        <v>8420.42</v>
      </c>
      <c r="D69" s="296">
        <v>6693.72</v>
      </c>
      <c r="E69" s="296">
        <v>5532.03</v>
      </c>
      <c r="F69" s="296">
        <v>4296.18</v>
      </c>
      <c r="G69" s="296">
        <v>2521.75</v>
      </c>
      <c r="H69" s="296">
        <v>1462.84</v>
      </c>
      <c r="I69" s="296">
        <v>1577.26</v>
      </c>
      <c r="J69" s="296">
        <v>1413.58</v>
      </c>
      <c r="K69" s="296">
        <v>2466.4299999999998</v>
      </c>
      <c r="L69" s="296">
        <v>3348.96</v>
      </c>
      <c r="M69" s="296">
        <v>5137.01</v>
      </c>
      <c r="N69" s="296">
        <v>6443.7</v>
      </c>
      <c r="O69" s="54">
        <f t="shared" si="0"/>
        <v>49313.88</v>
      </c>
    </row>
    <row r="70" spans="1:15">
      <c r="A70" s="286"/>
      <c r="B70" s="285" t="s">
        <v>29</v>
      </c>
      <c r="C70" s="286">
        <v>781.8</v>
      </c>
      <c r="D70" s="286">
        <v>624.4</v>
      </c>
      <c r="E70" s="286">
        <v>411.6</v>
      </c>
      <c r="F70" s="286">
        <v>299.8</v>
      </c>
      <c r="G70" s="286">
        <v>223.3</v>
      </c>
      <c r="H70" s="286">
        <v>138.6</v>
      </c>
      <c r="I70" s="286">
        <v>123.7</v>
      </c>
      <c r="J70" s="286">
        <v>108.1</v>
      </c>
      <c r="K70" s="286">
        <v>113.1</v>
      </c>
      <c r="L70" s="286">
        <v>167.8</v>
      </c>
      <c r="M70" s="286">
        <v>328.3</v>
      </c>
      <c r="N70" s="286">
        <v>454.8</v>
      </c>
      <c r="O70" s="53">
        <f t="shared" si="0"/>
        <v>3775.3</v>
      </c>
    </row>
    <row r="71" spans="1:15">
      <c r="A71" s="286"/>
      <c r="B71" s="285" t="s">
        <v>30</v>
      </c>
      <c r="C71" s="285" t="s">
        <v>45</v>
      </c>
      <c r="D71" s="285" t="s">
        <v>45</v>
      </c>
      <c r="E71" s="285" t="s">
        <v>45</v>
      </c>
      <c r="F71" s="285" t="s">
        <v>45</v>
      </c>
      <c r="G71" s="285" t="s">
        <v>45</v>
      </c>
      <c r="H71" s="285" t="s">
        <v>45</v>
      </c>
      <c r="I71" s="285" t="s">
        <v>45</v>
      </c>
      <c r="J71" s="285" t="s">
        <v>45</v>
      </c>
      <c r="K71" s="285" t="s">
        <v>45</v>
      </c>
      <c r="L71" s="285" t="s">
        <v>45</v>
      </c>
      <c r="M71" s="285" t="s">
        <v>45</v>
      </c>
      <c r="N71" s="285" t="s">
        <v>45</v>
      </c>
      <c r="O71" s="53">
        <f t="shared" si="0"/>
        <v>0</v>
      </c>
    </row>
    <row r="72" spans="1:15">
      <c r="A72" s="286"/>
      <c r="B72" s="285" t="s">
        <v>31</v>
      </c>
      <c r="C72" s="286">
        <v>1568.31</v>
      </c>
      <c r="D72" s="286">
        <v>1246.29</v>
      </c>
      <c r="E72" s="286">
        <v>976.86</v>
      </c>
      <c r="F72" s="286">
        <v>764.73</v>
      </c>
      <c r="G72" s="286">
        <v>409.24</v>
      </c>
      <c r="H72" s="286">
        <v>265.77999999999997</v>
      </c>
      <c r="I72" s="286">
        <v>134.19</v>
      </c>
      <c r="J72" s="286">
        <v>216.24</v>
      </c>
      <c r="K72" s="286">
        <v>280.19</v>
      </c>
      <c r="L72" s="286">
        <v>372.38</v>
      </c>
      <c r="M72" s="286">
        <v>760.84</v>
      </c>
      <c r="N72" s="286">
        <v>995.74</v>
      </c>
      <c r="O72" s="53">
        <f t="shared" si="0"/>
        <v>7990.7899999999991</v>
      </c>
    </row>
    <row r="73" spans="1:15">
      <c r="A73" s="286"/>
      <c r="B73" s="285" t="s">
        <v>32</v>
      </c>
      <c r="C73" s="285" t="s">
        <v>45</v>
      </c>
      <c r="D73" s="285" t="s">
        <v>45</v>
      </c>
      <c r="E73" s="285" t="s">
        <v>45</v>
      </c>
      <c r="F73" s="285" t="s">
        <v>45</v>
      </c>
      <c r="G73" s="285" t="s">
        <v>45</v>
      </c>
      <c r="H73" s="285" t="s">
        <v>45</v>
      </c>
      <c r="I73" s="285" t="s">
        <v>45</v>
      </c>
      <c r="J73" s="285" t="s">
        <v>45</v>
      </c>
      <c r="K73" s="285" t="s">
        <v>45</v>
      </c>
      <c r="L73" s="285" t="s">
        <v>45</v>
      </c>
      <c r="M73" s="285" t="s">
        <v>45</v>
      </c>
      <c r="N73" s="285" t="s">
        <v>45</v>
      </c>
      <c r="O73" s="53">
        <f t="shared" si="0"/>
        <v>0</v>
      </c>
    </row>
    <row r="74" spans="1:15">
      <c r="A74" s="286"/>
      <c r="B74" s="285" t="s">
        <v>33</v>
      </c>
      <c r="C74" s="285" t="s">
        <v>45</v>
      </c>
      <c r="D74" s="285" t="s">
        <v>45</v>
      </c>
      <c r="E74" s="285" t="s">
        <v>45</v>
      </c>
      <c r="F74" s="285" t="s">
        <v>45</v>
      </c>
      <c r="G74" s="285" t="s">
        <v>45</v>
      </c>
      <c r="H74" s="285" t="s">
        <v>45</v>
      </c>
      <c r="I74" s="285" t="s">
        <v>45</v>
      </c>
      <c r="J74" s="285" t="s">
        <v>45</v>
      </c>
      <c r="K74" s="285" t="s">
        <v>45</v>
      </c>
      <c r="L74" s="285" t="s">
        <v>45</v>
      </c>
      <c r="M74" s="285" t="s">
        <v>45</v>
      </c>
      <c r="N74" s="285" t="s">
        <v>45</v>
      </c>
      <c r="O74" s="53">
        <f t="shared" si="0"/>
        <v>0</v>
      </c>
    </row>
    <row r="75" spans="1:15">
      <c r="A75" s="286"/>
      <c r="B75" s="285" t="s">
        <v>34</v>
      </c>
      <c r="C75" s="285" t="s">
        <v>45</v>
      </c>
      <c r="D75" s="285" t="s">
        <v>45</v>
      </c>
      <c r="E75" s="285" t="s">
        <v>45</v>
      </c>
      <c r="F75" s="285" t="s">
        <v>45</v>
      </c>
      <c r="G75" s="285" t="s">
        <v>45</v>
      </c>
      <c r="H75" s="285" t="s">
        <v>45</v>
      </c>
      <c r="I75" s="285" t="s">
        <v>45</v>
      </c>
      <c r="J75" s="285" t="s">
        <v>45</v>
      </c>
      <c r="K75" s="285" t="s">
        <v>45</v>
      </c>
      <c r="L75" s="285" t="s">
        <v>45</v>
      </c>
      <c r="M75" s="285" t="s">
        <v>45</v>
      </c>
      <c r="N75" s="285" t="s">
        <v>45</v>
      </c>
      <c r="O75" s="53">
        <f t="shared" si="0"/>
        <v>0</v>
      </c>
    </row>
    <row r="76" spans="1:15">
      <c r="A76" s="286"/>
      <c r="B76" s="285" t="s">
        <v>35</v>
      </c>
      <c r="C76" s="285" t="s">
        <v>45</v>
      </c>
      <c r="D76" s="285" t="s">
        <v>45</v>
      </c>
      <c r="E76" s="285" t="s">
        <v>45</v>
      </c>
      <c r="F76" s="285" t="s">
        <v>45</v>
      </c>
      <c r="G76" s="285" t="s">
        <v>45</v>
      </c>
      <c r="H76" s="285" t="s">
        <v>45</v>
      </c>
      <c r="I76" s="285" t="s">
        <v>45</v>
      </c>
      <c r="J76" s="285" t="s">
        <v>45</v>
      </c>
      <c r="K76" s="285" t="s">
        <v>45</v>
      </c>
      <c r="L76" s="285" t="s">
        <v>45</v>
      </c>
      <c r="M76" s="285" t="s">
        <v>45</v>
      </c>
      <c r="N76" s="285" t="s">
        <v>45</v>
      </c>
      <c r="O76" s="53">
        <f t="shared" si="0"/>
        <v>0</v>
      </c>
    </row>
    <row r="77" spans="1:15">
      <c r="A77" s="286"/>
      <c r="B77" s="285" t="s">
        <v>36</v>
      </c>
      <c r="C77" s="286">
        <v>2622.8</v>
      </c>
      <c r="D77" s="286">
        <v>2392.4</v>
      </c>
      <c r="E77" s="286">
        <v>1765</v>
      </c>
      <c r="F77" s="286">
        <v>1318.1</v>
      </c>
      <c r="G77" s="286">
        <v>703.3</v>
      </c>
      <c r="H77" s="286">
        <v>459.6</v>
      </c>
      <c r="I77" s="286">
        <v>313.3</v>
      </c>
      <c r="J77" s="286">
        <v>308.10000000000002</v>
      </c>
      <c r="K77" s="286">
        <v>309.3</v>
      </c>
      <c r="L77" s="286">
        <v>427.5</v>
      </c>
      <c r="M77" s="286">
        <v>1008.9</v>
      </c>
      <c r="N77" s="286">
        <v>1452.8</v>
      </c>
      <c r="O77" s="53">
        <f t="shared" si="0"/>
        <v>13081.099999999999</v>
      </c>
    </row>
    <row r="78" spans="1:15">
      <c r="A78" s="286"/>
      <c r="B78" s="285" t="s">
        <v>37</v>
      </c>
      <c r="C78" s="285" t="s">
        <v>45</v>
      </c>
      <c r="D78" s="285" t="s">
        <v>45</v>
      </c>
      <c r="E78" s="285" t="s">
        <v>45</v>
      </c>
      <c r="F78" s="285" t="s">
        <v>45</v>
      </c>
      <c r="G78" s="285" t="s">
        <v>45</v>
      </c>
      <c r="H78" s="285" t="s">
        <v>45</v>
      </c>
      <c r="I78" s="285" t="s">
        <v>45</v>
      </c>
      <c r="J78" s="285" t="s">
        <v>45</v>
      </c>
      <c r="K78" s="285" t="s">
        <v>45</v>
      </c>
      <c r="L78" s="285" t="s">
        <v>45</v>
      </c>
      <c r="M78" s="285" t="s">
        <v>45</v>
      </c>
      <c r="N78" s="285" t="s">
        <v>45</v>
      </c>
      <c r="O78" s="53">
        <f t="shared" ref="O78:O137" si="1">SUM(C78:N78)</f>
        <v>0</v>
      </c>
    </row>
    <row r="79" spans="1:15">
      <c r="A79" s="286"/>
      <c r="B79" s="285" t="s">
        <v>38</v>
      </c>
      <c r="C79" s="286">
        <v>489.68</v>
      </c>
      <c r="D79" s="286">
        <v>414.33</v>
      </c>
      <c r="E79" s="286">
        <v>353.89</v>
      </c>
      <c r="F79" s="286">
        <v>270.52</v>
      </c>
      <c r="G79" s="286">
        <v>124.97</v>
      </c>
      <c r="H79" s="286">
        <v>47.93</v>
      </c>
      <c r="I79" s="286">
        <v>24.14</v>
      </c>
      <c r="J79" s="286">
        <v>20.190000000000001</v>
      </c>
      <c r="K79" s="286">
        <v>44.1</v>
      </c>
      <c r="L79" s="286">
        <v>107.8</v>
      </c>
      <c r="M79" s="286">
        <v>239.13</v>
      </c>
      <c r="N79" s="286">
        <v>281.45999999999998</v>
      </c>
      <c r="O79" s="53">
        <f t="shared" si="1"/>
        <v>2418.1400000000003</v>
      </c>
    </row>
    <row r="80" spans="1:15">
      <c r="A80" s="286"/>
      <c r="B80" s="285" t="s">
        <v>39</v>
      </c>
      <c r="C80" s="286">
        <v>503.94</v>
      </c>
      <c r="D80" s="286">
        <v>349.87</v>
      </c>
      <c r="E80" s="286">
        <v>301.57</v>
      </c>
      <c r="F80" s="286">
        <v>203.18</v>
      </c>
      <c r="G80" s="286">
        <v>150.66999999999999</v>
      </c>
      <c r="H80" s="286">
        <v>93.31</v>
      </c>
      <c r="I80" s="286">
        <v>122.68</v>
      </c>
      <c r="J80" s="286">
        <v>116.01</v>
      </c>
      <c r="K80" s="286">
        <v>88.77</v>
      </c>
      <c r="L80" s="286">
        <v>171.5</v>
      </c>
      <c r="M80" s="286">
        <v>51.06</v>
      </c>
      <c r="N80" s="286">
        <v>280.11</v>
      </c>
      <c r="O80" s="53">
        <f t="shared" si="1"/>
        <v>2432.67</v>
      </c>
    </row>
    <row r="81" spans="1:15">
      <c r="A81" s="286"/>
      <c r="B81" s="285" t="s">
        <v>40</v>
      </c>
      <c r="C81" s="286">
        <v>153.9</v>
      </c>
      <c r="D81" s="286">
        <v>133.69999999999999</v>
      </c>
      <c r="E81" s="286">
        <v>88.3</v>
      </c>
      <c r="F81" s="286">
        <v>51.5</v>
      </c>
      <c r="G81" s="286">
        <v>11.4</v>
      </c>
      <c r="H81" s="286">
        <v>5.5</v>
      </c>
      <c r="I81" s="286">
        <v>1.3</v>
      </c>
      <c r="J81" s="286">
        <v>0.9</v>
      </c>
      <c r="K81" s="286">
        <v>0.9</v>
      </c>
      <c r="L81" s="286">
        <v>14</v>
      </c>
      <c r="M81" s="286">
        <v>51.5</v>
      </c>
      <c r="N81" s="286">
        <v>122.8</v>
      </c>
      <c r="O81" s="53">
        <f t="shared" si="1"/>
        <v>635.69999999999993</v>
      </c>
    </row>
    <row r="82" spans="1:15">
      <c r="A82" s="286"/>
      <c r="B82" s="285" t="s">
        <v>41</v>
      </c>
      <c r="C82" s="286">
        <v>1829.85</v>
      </c>
      <c r="D82" s="286">
        <v>1509.64</v>
      </c>
      <c r="E82" s="286">
        <v>1117.93</v>
      </c>
      <c r="F82" s="286">
        <v>800.36</v>
      </c>
      <c r="G82" s="286">
        <v>403.09</v>
      </c>
      <c r="H82" s="286">
        <v>221.52</v>
      </c>
      <c r="I82" s="286">
        <v>183.02</v>
      </c>
      <c r="J82" s="286">
        <v>169.46</v>
      </c>
      <c r="K82" s="286">
        <v>210.96</v>
      </c>
      <c r="L82" s="286">
        <v>345.39</v>
      </c>
      <c r="M82" s="286">
        <v>774.15</v>
      </c>
      <c r="N82" s="286">
        <v>1065.9100000000001</v>
      </c>
      <c r="O82" s="53">
        <f t="shared" si="1"/>
        <v>8631.2800000000007</v>
      </c>
    </row>
    <row r="83" spans="1:15" s="287" customFormat="1">
      <c r="A83" s="8"/>
      <c r="B83" s="9" t="s">
        <v>42</v>
      </c>
      <c r="C83" s="8">
        <v>16444.8</v>
      </c>
      <c r="D83" s="8">
        <v>13434.35</v>
      </c>
      <c r="E83" s="8">
        <v>10593.18</v>
      </c>
      <c r="F83" s="8">
        <v>8031.07</v>
      </c>
      <c r="G83" s="8">
        <v>4565.32</v>
      </c>
      <c r="H83" s="8">
        <v>2700.88</v>
      </c>
      <c r="I83" s="8">
        <v>2484.89</v>
      </c>
      <c r="J83" s="8">
        <v>2358.2800000000002</v>
      </c>
      <c r="K83" s="8">
        <v>3518.45</v>
      </c>
      <c r="L83" s="8">
        <v>4968.2299999999996</v>
      </c>
      <c r="M83" s="8">
        <v>8369.2900000000009</v>
      </c>
      <c r="N83" s="8">
        <v>11121.62</v>
      </c>
      <c r="O83" s="53">
        <f t="shared" si="1"/>
        <v>88590.359999999986</v>
      </c>
    </row>
    <row r="84" spans="1:15">
      <c r="A84" s="286"/>
      <c r="B84" s="285"/>
      <c r="C84" s="286"/>
      <c r="D84" s="286"/>
      <c r="E84" s="286"/>
      <c r="F84" s="286"/>
      <c r="G84" s="286"/>
      <c r="H84" s="286"/>
      <c r="I84" s="286"/>
      <c r="J84" s="286"/>
      <c r="K84" s="286"/>
      <c r="L84" s="286"/>
      <c r="M84" s="286"/>
      <c r="N84" s="286"/>
      <c r="O84" s="53"/>
    </row>
    <row r="85" spans="1:15">
      <c r="A85" s="285" t="s">
        <v>47</v>
      </c>
      <c r="B85" s="285" t="s">
        <v>26</v>
      </c>
      <c r="C85" s="286">
        <v>13466</v>
      </c>
      <c r="D85" s="286">
        <v>15740</v>
      </c>
      <c r="E85" s="286">
        <v>11983</v>
      </c>
      <c r="F85" s="286">
        <v>13096</v>
      </c>
      <c r="G85" s="286">
        <v>9454</v>
      </c>
      <c r="H85" s="286">
        <v>8709</v>
      </c>
      <c r="I85" s="286">
        <v>7477</v>
      </c>
      <c r="J85" s="286">
        <v>6364</v>
      </c>
      <c r="K85" s="286">
        <v>5159</v>
      </c>
      <c r="L85" s="286">
        <v>4266</v>
      </c>
      <c r="M85" s="286">
        <v>10344</v>
      </c>
      <c r="N85" s="286">
        <v>14408</v>
      </c>
      <c r="O85" s="53">
        <f t="shared" si="1"/>
        <v>120466</v>
      </c>
    </row>
    <row r="86" spans="1:15">
      <c r="A86" s="286"/>
      <c r="B86" s="285" t="s">
        <v>27</v>
      </c>
      <c r="C86" s="286">
        <v>8943</v>
      </c>
      <c r="D86" s="286">
        <v>8758</v>
      </c>
      <c r="E86" s="286">
        <v>5719</v>
      </c>
      <c r="F86" s="286">
        <v>5543</v>
      </c>
      <c r="G86" s="286">
        <v>3547</v>
      </c>
      <c r="H86" s="286">
        <v>5067</v>
      </c>
      <c r="I86" s="286">
        <v>3372</v>
      </c>
      <c r="J86" s="286">
        <v>2889</v>
      </c>
      <c r="K86" s="286">
        <v>2572</v>
      </c>
      <c r="L86" s="286">
        <v>3122</v>
      </c>
      <c r="M86" s="286">
        <v>5147</v>
      </c>
      <c r="N86" s="286">
        <v>6274</v>
      </c>
      <c r="O86" s="53">
        <f t="shared" si="1"/>
        <v>60953</v>
      </c>
    </row>
    <row r="87" spans="1:15">
      <c r="A87" s="286"/>
      <c r="B87" s="295" t="s">
        <v>28</v>
      </c>
      <c r="C87" s="296">
        <v>17580</v>
      </c>
      <c r="D87" s="296">
        <v>25914</v>
      </c>
      <c r="E87" s="296">
        <v>24706</v>
      </c>
      <c r="F87" s="296">
        <v>20902</v>
      </c>
      <c r="G87" s="296">
        <v>16614</v>
      </c>
      <c r="H87" s="296">
        <v>16763</v>
      </c>
      <c r="I87" s="296">
        <v>31358</v>
      </c>
      <c r="J87" s="296">
        <v>13056</v>
      </c>
      <c r="K87" s="296">
        <v>15435</v>
      </c>
      <c r="L87" s="296">
        <v>13202</v>
      </c>
      <c r="M87" s="296">
        <v>13033</v>
      </c>
      <c r="N87" s="296">
        <v>14900</v>
      </c>
      <c r="O87" s="54">
        <f t="shared" si="1"/>
        <v>223463</v>
      </c>
    </row>
    <row r="88" spans="1:15">
      <c r="A88" s="286"/>
      <c r="B88" s="285" t="s">
        <v>29</v>
      </c>
      <c r="C88" s="286">
        <v>40878</v>
      </c>
      <c r="D88" s="286">
        <v>41859</v>
      </c>
      <c r="E88" s="286">
        <v>34747</v>
      </c>
      <c r="F88" s="286">
        <v>39008</v>
      </c>
      <c r="G88" s="286">
        <v>31902</v>
      </c>
      <c r="H88" s="286">
        <v>37264</v>
      </c>
      <c r="I88" s="286">
        <v>37650</v>
      </c>
      <c r="J88" s="286">
        <v>27447</v>
      </c>
      <c r="K88" s="286">
        <v>33780</v>
      </c>
      <c r="L88" s="286">
        <v>30073</v>
      </c>
      <c r="M88" s="286">
        <v>30746</v>
      </c>
      <c r="N88" s="286">
        <v>35258</v>
      </c>
      <c r="O88" s="53">
        <f t="shared" si="1"/>
        <v>420612</v>
      </c>
    </row>
    <row r="89" spans="1:15">
      <c r="A89" s="286"/>
      <c r="B89" s="285" t="s">
        <v>30</v>
      </c>
      <c r="C89" s="285" t="s">
        <v>45</v>
      </c>
      <c r="D89" s="285" t="s">
        <v>45</v>
      </c>
      <c r="E89" s="285" t="s">
        <v>45</v>
      </c>
      <c r="F89" s="285" t="s">
        <v>45</v>
      </c>
      <c r="G89" s="285" t="s">
        <v>45</v>
      </c>
      <c r="H89" s="285" t="s">
        <v>45</v>
      </c>
      <c r="I89" s="285" t="s">
        <v>45</v>
      </c>
      <c r="J89" s="285" t="s">
        <v>45</v>
      </c>
      <c r="K89" s="285" t="s">
        <v>45</v>
      </c>
      <c r="L89" s="285" t="s">
        <v>45</v>
      </c>
      <c r="M89" s="285" t="s">
        <v>45</v>
      </c>
      <c r="N89" s="285" t="s">
        <v>45</v>
      </c>
      <c r="O89" s="53">
        <f t="shared" si="1"/>
        <v>0</v>
      </c>
    </row>
    <row r="90" spans="1:15">
      <c r="A90" s="286"/>
      <c r="B90" s="285" t="s">
        <v>31</v>
      </c>
      <c r="C90" s="285" t="s">
        <v>45</v>
      </c>
      <c r="D90" s="285" t="s">
        <v>45</v>
      </c>
      <c r="E90" s="285" t="s">
        <v>45</v>
      </c>
      <c r="F90" s="285" t="s">
        <v>45</v>
      </c>
      <c r="G90" s="285" t="s">
        <v>45</v>
      </c>
      <c r="H90" s="285" t="s">
        <v>45</v>
      </c>
      <c r="I90" s="285" t="s">
        <v>45</v>
      </c>
      <c r="J90" s="285" t="s">
        <v>45</v>
      </c>
      <c r="K90" s="285" t="s">
        <v>45</v>
      </c>
      <c r="L90" s="285" t="s">
        <v>45</v>
      </c>
      <c r="M90" s="285">
        <v>2277</v>
      </c>
      <c r="N90" s="285">
        <v>4962.1099999999997</v>
      </c>
      <c r="O90" s="53">
        <f t="shared" si="1"/>
        <v>7239.11</v>
      </c>
    </row>
    <row r="91" spans="1:15">
      <c r="A91" s="286"/>
      <c r="B91" s="285" t="s">
        <v>32</v>
      </c>
      <c r="C91" s="286">
        <v>35558</v>
      </c>
      <c r="D91" s="286">
        <v>38276</v>
      </c>
      <c r="E91" s="286">
        <v>27580</v>
      </c>
      <c r="F91" s="286">
        <v>27766</v>
      </c>
      <c r="G91" s="286">
        <v>17485</v>
      </c>
      <c r="H91" s="286">
        <v>15109</v>
      </c>
      <c r="I91" s="286">
        <v>8407</v>
      </c>
      <c r="J91" s="286">
        <v>8603</v>
      </c>
      <c r="K91" s="286">
        <v>10801</v>
      </c>
      <c r="L91" s="286">
        <v>11126</v>
      </c>
      <c r="M91" s="286">
        <v>22026</v>
      </c>
      <c r="N91" s="286">
        <v>24254</v>
      </c>
      <c r="O91" s="53">
        <f t="shared" si="1"/>
        <v>246991</v>
      </c>
    </row>
    <row r="92" spans="1:15">
      <c r="A92" s="286"/>
      <c r="B92" s="285" t="s">
        <v>33</v>
      </c>
      <c r="C92" s="285" t="s">
        <v>45</v>
      </c>
      <c r="D92" s="285" t="s">
        <v>45</v>
      </c>
      <c r="E92" s="285" t="s">
        <v>45</v>
      </c>
      <c r="F92" s="285" t="s">
        <v>45</v>
      </c>
      <c r="G92" s="285" t="s">
        <v>45</v>
      </c>
      <c r="H92" s="285" t="s">
        <v>45</v>
      </c>
      <c r="I92" s="285" t="s">
        <v>45</v>
      </c>
      <c r="J92" s="285" t="s">
        <v>45</v>
      </c>
      <c r="K92" s="285" t="s">
        <v>45</v>
      </c>
      <c r="L92" s="285" t="s">
        <v>45</v>
      </c>
      <c r="M92" s="285" t="s">
        <v>45</v>
      </c>
      <c r="N92" s="285" t="s">
        <v>45</v>
      </c>
      <c r="O92" s="53">
        <f t="shared" si="1"/>
        <v>0</v>
      </c>
    </row>
    <row r="93" spans="1:15">
      <c r="A93" s="286"/>
      <c r="B93" s="285" t="s">
        <v>34</v>
      </c>
      <c r="C93" s="285" t="s">
        <v>45</v>
      </c>
      <c r="D93" s="285" t="s">
        <v>45</v>
      </c>
      <c r="E93" s="285" t="s">
        <v>45</v>
      </c>
      <c r="F93" s="285" t="s">
        <v>45</v>
      </c>
      <c r="G93" s="285" t="s">
        <v>45</v>
      </c>
      <c r="H93" s="285" t="s">
        <v>45</v>
      </c>
      <c r="I93" s="285" t="s">
        <v>45</v>
      </c>
      <c r="J93" s="285" t="s">
        <v>45</v>
      </c>
      <c r="K93" s="285" t="s">
        <v>45</v>
      </c>
      <c r="L93" s="285" t="s">
        <v>45</v>
      </c>
      <c r="M93" s="285" t="s">
        <v>45</v>
      </c>
      <c r="N93" s="285" t="s">
        <v>45</v>
      </c>
      <c r="O93" s="53">
        <f t="shared" si="1"/>
        <v>0</v>
      </c>
    </row>
    <row r="94" spans="1:15">
      <c r="A94" s="286"/>
      <c r="B94" s="285" t="s">
        <v>35</v>
      </c>
      <c r="C94" s="285" t="s">
        <v>45</v>
      </c>
      <c r="D94" s="285" t="s">
        <v>45</v>
      </c>
      <c r="E94" s="285" t="s">
        <v>45</v>
      </c>
      <c r="F94" s="285" t="s">
        <v>45</v>
      </c>
      <c r="G94" s="285" t="s">
        <v>45</v>
      </c>
      <c r="H94" s="285" t="s">
        <v>45</v>
      </c>
      <c r="I94" s="285" t="s">
        <v>45</v>
      </c>
      <c r="J94" s="285" t="s">
        <v>45</v>
      </c>
      <c r="K94" s="285" t="s">
        <v>45</v>
      </c>
      <c r="L94" s="285" t="s">
        <v>45</v>
      </c>
      <c r="M94" s="285" t="s">
        <v>45</v>
      </c>
      <c r="N94" s="285" t="s">
        <v>45</v>
      </c>
      <c r="O94" s="53">
        <f t="shared" si="1"/>
        <v>0</v>
      </c>
    </row>
    <row r="95" spans="1:15">
      <c r="A95" s="286"/>
      <c r="B95" s="285" t="s">
        <v>36</v>
      </c>
      <c r="C95" s="286">
        <v>14368</v>
      </c>
      <c r="D95" s="286">
        <v>13181</v>
      </c>
      <c r="E95" s="286">
        <v>9185</v>
      </c>
      <c r="F95" s="286">
        <v>8664</v>
      </c>
      <c r="G95" s="286">
        <v>5730</v>
      </c>
      <c r="H95" s="286">
        <v>4706</v>
      </c>
      <c r="I95" s="286">
        <v>3982</v>
      </c>
      <c r="J95" s="286">
        <v>3799</v>
      </c>
      <c r="K95" s="286">
        <v>3824</v>
      </c>
      <c r="L95" s="286">
        <v>3929</v>
      </c>
      <c r="M95" s="286">
        <v>6187</v>
      </c>
      <c r="N95" s="286">
        <v>8317</v>
      </c>
      <c r="O95" s="53">
        <f t="shared" si="1"/>
        <v>85872</v>
      </c>
    </row>
    <row r="96" spans="1:15">
      <c r="A96" s="286"/>
      <c r="B96" s="285" t="s">
        <v>37</v>
      </c>
      <c r="C96" s="285" t="s">
        <v>45</v>
      </c>
      <c r="D96" s="285" t="s">
        <v>45</v>
      </c>
      <c r="E96" s="285" t="s">
        <v>45</v>
      </c>
      <c r="F96" s="285" t="s">
        <v>45</v>
      </c>
      <c r="G96" s="285" t="s">
        <v>45</v>
      </c>
      <c r="H96" s="285" t="s">
        <v>45</v>
      </c>
      <c r="I96" s="285" t="s">
        <v>45</v>
      </c>
      <c r="J96" s="285" t="s">
        <v>45</v>
      </c>
      <c r="K96" s="285" t="s">
        <v>45</v>
      </c>
      <c r="L96" s="285" t="s">
        <v>45</v>
      </c>
      <c r="M96" s="285" t="s">
        <v>45</v>
      </c>
      <c r="N96" s="285" t="s">
        <v>45</v>
      </c>
      <c r="O96" s="53">
        <f t="shared" si="1"/>
        <v>0</v>
      </c>
    </row>
    <row r="97" spans="1:15">
      <c r="A97" s="286"/>
      <c r="B97" s="285" t="s">
        <v>38</v>
      </c>
      <c r="C97" s="286">
        <v>49865</v>
      </c>
      <c r="D97" s="286">
        <v>56834</v>
      </c>
      <c r="E97" s="286">
        <v>45984</v>
      </c>
      <c r="F97" s="286">
        <v>41431</v>
      </c>
      <c r="G97" s="286">
        <v>35639</v>
      </c>
      <c r="H97" s="286">
        <v>29416</v>
      </c>
      <c r="I97" s="286">
        <v>28653</v>
      </c>
      <c r="J97" s="286">
        <v>27589</v>
      </c>
      <c r="K97" s="286">
        <v>32271</v>
      </c>
      <c r="L97" s="286">
        <v>30966</v>
      </c>
      <c r="M97" s="286">
        <v>36024</v>
      </c>
      <c r="N97" s="286">
        <v>34393</v>
      </c>
      <c r="O97" s="53">
        <f t="shared" si="1"/>
        <v>449065</v>
      </c>
    </row>
    <row r="98" spans="1:15">
      <c r="A98" s="286"/>
      <c r="B98" s="285" t="s">
        <v>39</v>
      </c>
      <c r="C98" s="286">
        <v>31939</v>
      </c>
      <c r="D98" s="286">
        <v>35415</v>
      </c>
      <c r="E98" s="286">
        <v>27038</v>
      </c>
      <c r="F98" s="286">
        <v>23430</v>
      </c>
      <c r="G98" s="286">
        <v>14965</v>
      </c>
      <c r="H98" s="286">
        <v>14904</v>
      </c>
      <c r="I98" s="286">
        <v>16180</v>
      </c>
      <c r="J98" s="286">
        <v>15460</v>
      </c>
      <c r="K98" s="286">
        <v>14374</v>
      </c>
      <c r="L98" s="286">
        <v>15848</v>
      </c>
      <c r="M98" s="286">
        <v>23916</v>
      </c>
      <c r="N98" s="286">
        <v>26373</v>
      </c>
      <c r="O98" s="53">
        <f t="shared" si="1"/>
        <v>259842</v>
      </c>
    </row>
    <row r="99" spans="1:15">
      <c r="A99" s="286"/>
      <c r="B99" s="285" t="s">
        <v>40</v>
      </c>
      <c r="C99" s="285" t="s">
        <v>45</v>
      </c>
      <c r="D99" s="285" t="s">
        <v>45</v>
      </c>
      <c r="E99" s="285" t="s">
        <v>45</v>
      </c>
      <c r="F99" s="285" t="s">
        <v>45</v>
      </c>
      <c r="G99" s="285" t="s">
        <v>45</v>
      </c>
      <c r="H99" s="285" t="s">
        <v>45</v>
      </c>
      <c r="I99" s="285" t="s">
        <v>45</v>
      </c>
      <c r="J99" s="285" t="s">
        <v>45</v>
      </c>
      <c r="K99" s="285" t="s">
        <v>45</v>
      </c>
      <c r="L99" s="285" t="s">
        <v>45</v>
      </c>
      <c r="M99" s="285" t="s">
        <v>45</v>
      </c>
      <c r="N99" s="285" t="s">
        <v>45</v>
      </c>
      <c r="O99" s="53">
        <f t="shared" si="1"/>
        <v>0</v>
      </c>
    </row>
    <row r="100" spans="1:15">
      <c r="A100" s="286"/>
      <c r="B100" s="285" t="s">
        <v>41</v>
      </c>
      <c r="C100" s="285">
        <v>3355</v>
      </c>
      <c r="D100" s="285">
        <v>3204</v>
      </c>
      <c r="E100" s="285">
        <v>2440</v>
      </c>
      <c r="F100" s="285">
        <v>2422</v>
      </c>
      <c r="G100" s="286">
        <v>1891</v>
      </c>
      <c r="H100" s="286">
        <v>1865</v>
      </c>
      <c r="I100" s="286">
        <v>1592</v>
      </c>
      <c r="J100" s="286">
        <v>4179</v>
      </c>
      <c r="K100" s="286">
        <v>28398</v>
      </c>
      <c r="L100" s="286">
        <v>21281</v>
      </c>
      <c r="M100" s="286">
        <v>15753</v>
      </c>
      <c r="N100" s="286">
        <v>18005</v>
      </c>
      <c r="O100" s="53">
        <f t="shared" si="1"/>
        <v>104385</v>
      </c>
    </row>
    <row r="101" spans="1:15" s="287" customFormat="1">
      <c r="A101" s="8"/>
      <c r="B101" s="9" t="s">
        <v>42</v>
      </c>
      <c r="C101" s="8">
        <v>215952</v>
      </c>
      <c r="D101" s="8">
        <v>239181</v>
      </c>
      <c r="E101" s="8">
        <v>189382</v>
      </c>
      <c r="F101" s="8">
        <v>182262</v>
      </c>
      <c r="G101" s="8">
        <v>137227</v>
      </c>
      <c r="H101" s="8">
        <v>133803</v>
      </c>
      <c r="I101" s="8">
        <v>138671</v>
      </c>
      <c r="J101" s="8">
        <v>109386</v>
      </c>
      <c r="K101" s="8">
        <v>146614</v>
      </c>
      <c r="L101" s="8">
        <v>133813</v>
      </c>
      <c r="M101" s="8">
        <v>165453</v>
      </c>
      <c r="N101" s="8">
        <v>187144.11</v>
      </c>
      <c r="O101" s="53">
        <f t="shared" si="1"/>
        <v>1978888.1099999999</v>
      </c>
    </row>
    <row r="102" spans="1:15">
      <c r="A102" s="286"/>
      <c r="B102" s="285"/>
      <c r="C102" s="286"/>
      <c r="D102" s="286"/>
      <c r="E102" s="286"/>
      <c r="F102" s="286"/>
      <c r="G102" s="286"/>
      <c r="H102" s="286"/>
      <c r="I102" s="286"/>
      <c r="J102" s="286"/>
      <c r="K102" s="286"/>
      <c r="L102" s="286"/>
      <c r="M102" s="286"/>
      <c r="N102" s="286"/>
      <c r="O102" s="53"/>
    </row>
    <row r="103" spans="1:15">
      <c r="A103" s="285" t="s">
        <v>48</v>
      </c>
      <c r="B103" s="285" t="s">
        <v>26</v>
      </c>
      <c r="C103" s="286">
        <v>123.52</v>
      </c>
      <c r="D103" s="286">
        <v>107.17</v>
      </c>
      <c r="E103" s="286">
        <v>85.41</v>
      </c>
      <c r="F103" s="286">
        <v>49.57</v>
      </c>
      <c r="G103" s="286">
        <v>28.16</v>
      </c>
      <c r="H103" s="286">
        <v>66.900000000000006</v>
      </c>
      <c r="I103" s="286">
        <v>27.32</v>
      </c>
      <c r="J103" s="286">
        <v>9.1999999999999993</v>
      </c>
      <c r="K103" s="286">
        <v>9.02</v>
      </c>
      <c r="L103" s="286">
        <v>53.44</v>
      </c>
      <c r="M103" s="286">
        <v>97.75</v>
      </c>
      <c r="N103" s="286">
        <v>109.92</v>
      </c>
      <c r="O103" s="53">
        <f t="shared" si="1"/>
        <v>767.38</v>
      </c>
    </row>
    <row r="104" spans="1:15">
      <c r="A104" s="286"/>
      <c r="B104" s="285" t="s">
        <v>27</v>
      </c>
      <c r="C104" s="286">
        <v>52.22</v>
      </c>
      <c r="D104" s="286">
        <v>59.31</v>
      </c>
      <c r="E104" s="286">
        <v>39.76</v>
      </c>
      <c r="F104" s="286">
        <v>26.86</v>
      </c>
      <c r="G104" s="286">
        <v>20.2</v>
      </c>
      <c r="H104" s="286">
        <v>13.54</v>
      </c>
      <c r="I104" s="286">
        <v>11.6</v>
      </c>
      <c r="J104" s="286">
        <v>10.96</v>
      </c>
      <c r="K104" s="286">
        <v>12.03</v>
      </c>
      <c r="L104" s="286">
        <v>16.329999999999998</v>
      </c>
      <c r="M104" s="286">
        <v>30.95</v>
      </c>
      <c r="N104" s="286">
        <v>33.96</v>
      </c>
      <c r="O104" s="53">
        <f t="shared" si="1"/>
        <v>327.71999999999991</v>
      </c>
    </row>
    <row r="105" spans="1:15">
      <c r="A105" s="286"/>
      <c r="B105" s="295" t="s">
        <v>28</v>
      </c>
      <c r="C105" s="295" t="s">
        <v>45</v>
      </c>
      <c r="D105" s="295" t="s">
        <v>45</v>
      </c>
      <c r="E105" s="295" t="s">
        <v>45</v>
      </c>
      <c r="F105" s="295" t="s">
        <v>45</v>
      </c>
      <c r="G105" s="295" t="s">
        <v>45</v>
      </c>
      <c r="H105" s="295" t="s">
        <v>45</v>
      </c>
      <c r="I105" s="295" t="s">
        <v>45</v>
      </c>
      <c r="J105" s="295" t="s">
        <v>45</v>
      </c>
      <c r="K105" s="295" t="s">
        <v>45</v>
      </c>
      <c r="L105" s="295" t="s">
        <v>45</v>
      </c>
      <c r="M105" s="295" t="s">
        <v>45</v>
      </c>
      <c r="N105" s="295" t="s">
        <v>45</v>
      </c>
      <c r="O105" s="54">
        <f t="shared" si="1"/>
        <v>0</v>
      </c>
    </row>
    <row r="106" spans="1:15">
      <c r="A106" s="286"/>
      <c r="B106" s="285" t="s">
        <v>29</v>
      </c>
      <c r="C106" s="286">
        <v>190.38</v>
      </c>
      <c r="D106" s="286">
        <v>216.86</v>
      </c>
      <c r="E106" s="286">
        <v>155.94999999999999</v>
      </c>
      <c r="F106" s="286">
        <v>128.97999999999999</v>
      </c>
      <c r="G106" s="286">
        <v>127.96</v>
      </c>
      <c r="H106" s="286">
        <v>27.02</v>
      </c>
      <c r="I106" s="286">
        <v>0.33</v>
      </c>
      <c r="J106" s="286">
        <v>0.33</v>
      </c>
      <c r="K106" s="285" t="s">
        <v>45</v>
      </c>
      <c r="L106" s="286">
        <v>68.150000000000006</v>
      </c>
      <c r="M106" s="286">
        <v>159.84</v>
      </c>
      <c r="N106" s="286">
        <v>148.28</v>
      </c>
      <c r="O106" s="53">
        <f t="shared" si="1"/>
        <v>1224.0800000000002</v>
      </c>
    </row>
    <row r="107" spans="1:15">
      <c r="A107" s="286"/>
      <c r="B107" s="285" t="s">
        <v>30</v>
      </c>
      <c r="C107" s="286">
        <v>43.65</v>
      </c>
      <c r="D107" s="286">
        <v>38.22</v>
      </c>
      <c r="E107" s="286">
        <v>32.79</v>
      </c>
      <c r="F107" s="286">
        <v>24.74</v>
      </c>
      <c r="G107" s="286">
        <v>19.309999999999999</v>
      </c>
      <c r="H107" s="286">
        <v>20.52</v>
      </c>
      <c r="I107" s="286">
        <v>19.309999999999999</v>
      </c>
      <c r="J107" s="286">
        <v>18.71</v>
      </c>
      <c r="K107" s="286">
        <v>20.32</v>
      </c>
      <c r="L107" s="286">
        <v>19.71</v>
      </c>
      <c r="M107" s="286">
        <v>37.619999999999997</v>
      </c>
      <c r="N107" s="286">
        <v>36.409999999999997</v>
      </c>
      <c r="O107" s="53">
        <f t="shared" si="1"/>
        <v>331.31000000000006</v>
      </c>
    </row>
    <row r="108" spans="1:15">
      <c r="A108" s="286"/>
      <c r="B108" s="285" t="s">
        <v>31</v>
      </c>
      <c r="C108" s="286">
        <v>288.06</v>
      </c>
      <c r="D108" s="286">
        <v>277.10000000000002</v>
      </c>
      <c r="E108" s="286">
        <v>347.74</v>
      </c>
      <c r="F108" s="286">
        <v>292.32</v>
      </c>
      <c r="G108" s="286">
        <v>292.63</v>
      </c>
      <c r="H108" s="286">
        <v>190.62</v>
      </c>
      <c r="I108" s="285">
        <v>247.26</v>
      </c>
      <c r="J108" s="286">
        <v>217.72</v>
      </c>
      <c r="K108" s="286">
        <v>192.14</v>
      </c>
      <c r="L108" s="286">
        <v>211.33</v>
      </c>
      <c r="M108" s="286">
        <v>275.58</v>
      </c>
      <c r="N108" s="286">
        <v>267.95999999999998</v>
      </c>
      <c r="O108" s="53">
        <f t="shared" si="1"/>
        <v>3100.4599999999996</v>
      </c>
    </row>
    <row r="109" spans="1:15">
      <c r="A109" s="286"/>
      <c r="B109" s="285" t="s">
        <v>32</v>
      </c>
      <c r="C109" s="286">
        <v>77.8</v>
      </c>
      <c r="D109" s="285">
        <v>78.3</v>
      </c>
      <c r="E109" s="286">
        <v>89.65</v>
      </c>
      <c r="F109" s="286">
        <v>450.36</v>
      </c>
      <c r="G109" s="286">
        <v>264.27999999999997</v>
      </c>
      <c r="H109" s="286">
        <v>728.6</v>
      </c>
      <c r="I109" s="286">
        <v>705.24</v>
      </c>
      <c r="J109" s="286">
        <v>687.85</v>
      </c>
      <c r="K109" s="286">
        <v>519.64</v>
      </c>
      <c r="L109" s="286">
        <v>521.87</v>
      </c>
      <c r="M109" s="286">
        <v>434.64</v>
      </c>
      <c r="N109" s="286">
        <v>72.599999999999994</v>
      </c>
      <c r="O109" s="53">
        <f t="shared" si="1"/>
        <v>4630.8300000000008</v>
      </c>
    </row>
    <row r="110" spans="1:15">
      <c r="A110" s="286"/>
      <c r="B110" s="285" t="s">
        <v>33</v>
      </c>
      <c r="C110" s="285" t="s">
        <v>45</v>
      </c>
      <c r="D110" s="285" t="s">
        <v>45</v>
      </c>
      <c r="E110" s="285" t="s">
        <v>45</v>
      </c>
      <c r="F110" s="285" t="s">
        <v>45</v>
      </c>
      <c r="G110" s="285" t="s">
        <v>45</v>
      </c>
      <c r="H110" s="285" t="s">
        <v>45</v>
      </c>
      <c r="I110" s="285" t="s">
        <v>45</v>
      </c>
      <c r="J110" s="285" t="s">
        <v>45</v>
      </c>
      <c r="K110" s="285" t="s">
        <v>45</v>
      </c>
      <c r="L110" s="285" t="s">
        <v>45</v>
      </c>
      <c r="M110" s="285" t="s">
        <v>45</v>
      </c>
      <c r="N110" s="285" t="s">
        <v>45</v>
      </c>
      <c r="O110" s="53">
        <f t="shared" si="1"/>
        <v>0</v>
      </c>
    </row>
    <row r="111" spans="1:15">
      <c r="A111" s="286"/>
      <c r="B111" s="285" t="s">
        <v>34</v>
      </c>
      <c r="C111" s="286">
        <v>97.7</v>
      </c>
      <c r="D111" s="286">
        <v>139.19999999999999</v>
      </c>
      <c r="E111" s="286">
        <v>117.3</v>
      </c>
      <c r="F111" s="286">
        <v>41.4</v>
      </c>
      <c r="G111" s="285">
        <v>19.5</v>
      </c>
      <c r="H111" s="285">
        <v>12.1</v>
      </c>
      <c r="I111" s="285" t="s">
        <v>45</v>
      </c>
      <c r="J111" s="285">
        <v>1.8</v>
      </c>
      <c r="K111" s="285">
        <v>1.3</v>
      </c>
      <c r="L111" s="286">
        <v>8.5</v>
      </c>
      <c r="M111" s="286">
        <v>52.7</v>
      </c>
      <c r="N111" s="286">
        <v>77</v>
      </c>
      <c r="O111" s="53">
        <f t="shared" si="1"/>
        <v>568.5</v>
      </c>
    </row>
    <row r="112" spans="1:15">
      <c r="A112" s="286"/>
      <c r="B112" s="285" t="s">
        <v>35</v>
      </c>
      <c r="C112" s="285" t="s">
        <v>45</v>
      </c>
      <c r="D112" s="285" t="s">
        <v>45</v>
      </c>
      <c r="E112" s="285" t="s">
        <v>45</v>
      </c>
      <c r="F112" s="285" t="s">
        <v>45</v>
      </c>
      <c r="G112" s="285" t="s">
        <v>45</v>
      </c>
      <c r="H112" s="285" t="s">
        <v>45</v>
      </c>
      <c r="I112" s="285" t="s">
        <v>45</v>
      </c>
      <c r="J112" s="285" t="s">
        <v>45</v>
      </c>
      <c r="K112" s="285" t="s">
        <v>45</v>
      </c>
      <c r="L112" s="285" t="s">
        <v>45</v>
      </c>
      <c r="M112" s="285" t="s">
        <v>45</v>
      </c>
      <c r="N112" s="285" t="s">
        <v>45</v>
      </c>
      <c r="O112" s="53">
        <f t="shared" si="1"/>
        <v>0</v>
      </c>
    </row>
    <row r="113" spans="1:15">
      <c r="A113" s="286"/>
      <c r="B113" s="285" t="s">
        <v>36</v>
      </c>
      <c r="C113" s="286">
        <v>116.19</v>
      </c>
      <c r="D113" s="286">
        <v>120.14</v>
      </c>
      <c r="E113" s="286">
        <v>115.92</v>
      </c>
      <c r="F113" s="286">
        <v>88.11</v>
      </c>
      <c r="G113" s="286">
        <v>67.7</v>
      </c>
      <c r="H113" s="286">
        <v>53.73</v>
      </c>
      <c r="I113" s="286">
        <v>44.71</v>
      </c>
      <c r="J113" s="286">
        <v>16.18</v>
      </c>
      <c r="K113" s="286">
        <v>11.6</v>
      </c>
      <c r="L113" s="286">
        <v>19.66</v>
      </c>
      <c r="M113" s="286">
        <v>120.85</v>
      </c>
      <c r="N113" s="286">
        <v>119.59</v>
      </c>
      <c r="O113" s="53">
        <f t="shared" si="1"/>
        <v>894.38</v>
      </c>
    </row>
    <row r="114" spans="1:15">
      <c r="A114" s="286"/>
      <c r="B114" s="285" t="s">
        <v>37</v>
      </c>
      <c r="C114" s="285" t="s">
        <v>45</v>
      </c>
      <c r="D114" s="285" t="s">
        <v>45</v>
      </c>
      <c r="E114" s="285" t="s">
        <v>45</v>
      </c>
      <c r="F114" s="285" t="s">
        <v>45</v>
      </c>
      <c r="G114" s="285" t="s">
        <v>45</v>
      </c>
      <c r="H114" s="285" t="s">
        <v>45</v>
      </c>
      <c r="I114" s="285" t="s">
        <v>45</v>
      </c>
      <c r="J114" s="285" t="s">
        <v>45</v>
      </c>
      <c r="K114" s="285" t="s">
        <v>45</v>
      </c>
      <c r="L114" s="285" t="s">
        <v>45</v>
      </c>
      <c r="M114" s="285" t="s">
        <v>45</v>
      </c>
      <c r="N114" s="285" t="s">
        <v>45</v>
      </c>
      <c r="O114" s="53">
        <f t="shared" si="1"/>
        <v>0</v>
      </c>
    </row>
    <row r="115" spans="1:15">
      <c r="A115" s="286"/>
      <c r="B115" s="285" t="s">
        <v>38</v>
      </c>
      <c r="C115" s="286">
        <v>84</v>
      </c>
      <c r="D115" s="286">
        <v>73.099999999999994</v>
      </c>
      <c r="E115" s="286">
        <v>73.3</v>
      </c>
      <c r="F115" s="286">
        <v>49.5</v>
      </c>
      <c r="G115" s="286">
        <v>21.3</v>
      </c>
      <c r="H115" s="286">
        <v>14.9</v>
      </c>
      <c r="I115" s="286">
        <v>9.4</v>
      </c>
      <c r="J115" s="286">
        <v>7.8</v>
      </c>
      <c r="K115" s="286">
        <v>10</v>
      </c>
      <c r="L115" s="286">
        <v>14.5</v>
      </c>
      <c r="M115" s="286">
        <v>28.3</v>
      </c>
      <c r="N115" s="286">
        <v>46.7</v>
      </c>
      <c r="O115" s="53">
        <f t="shared" si="1"/>
        <v>432.79999999999995</v>
      </c>
    </row>
    <row r="116" spans="1:15">
      <c r="A116" s="286"/>
      <c r="B116" s="285" t="s">
        <v>39</v>
      </c>
      <c r="C116" s="286">
        <v>129.9</v>
      </c>
      <c r="D116" s="286">
        <v>92</v>
      </c>
      <c r="E116" s="286">
        <v>84.76</v>
      </c>
      <c r="F116" s="286">
        <v>69.52</v>
      </c>
      <c r="G116" s="286">
        <v>16.149999999999999</v>
      </c>
      <c r="H116" s="286">
        <v>3.9</v>
      </c>
      <c r="I116" s="286">
        <v>3.7</v>
      </c>
      <c r="J116" s="286">
        <v>3.6</v>
      </c>
      <c r="K116" s="286">
        <v>4</v>
      </c>
      <c r="L116" s="286">
        <v>10.5</v>
      </c>
      <c r="M116" s="286">
        <v>43.9</v>
      </c>
      <c r="N116" s="286">
        <v>72.900000000000006</v>
      </c>
      <c r="O116" s="53">
        <f t="shared" si="1"/>
        <v>534.82999999999993</v>
      </c>
    </row>
    <row r="117" spans="1:15">
      <c r="A117" s="286"/>
      <c r="B117" s="285" t="s">
        <v>40</v>
      </c>
      <c r="C117" s="285" t="s">
        <v>45</v>
      </c>
      <c r="D117" s="285" t="s">
        <v>45</v>
      </c>
      <c r="E117" s="285" t="s">
        <v>45</v>
      </c>
      <c r="F117" s="285" t="s">
        <v>45</v>
      </c>
      <c r="G117" s="285" t="s">
        <v>45</v>
      </c>
      <c r="H117" s="285" t="s">
        <v>45</v>
      </c>
      <c r="I117" s="285" t="s">
        <v>45</v>
      </c>
      <c r="J117" s="285" t="s">
        <v>45</v>
      </c>
      <c r="K117" s="285" t="s">
        <v>45</v>
      </c>
      <c r="L117" s="285" t="s">
        <v>45</v>
      </c>
      <c r="M117" s="285" t="s">
        <v>45</v>
      </c>
      <c r="N117" s="285" t="s">
        <v>45</v>
      </c>
      <c r="O117" s="53">
        <f t="shared" si="1"/>
        <v>0</v>
      </c>
    </row>
    <row r="118" spans="1:15">
      <c r="A118" s="286"/>
      <c r="B118" s="285" t="s">
        <v>41</v>
      </c>
      <c r="C118" s="286">
        <v>1590.88</v>
      </c>
      <c r="D118" s="286">
        <v>1246.31</v>
      </c>
      <c r="E118" s="286">
        <v>927.91</v>
      </c>
      <c r="F118" s="286">
        <v>704.57</v>
      </c>
      <c r="G118" s="286">
        <v>506.02</v>
      </c>
      <c r="H118" s="286">
        <v>326.64</v>
      </c>
      <c r="I118" s="286">
        <v>302.25</v>
      </c>
      <c r="J118" s="286">
        <v>246.61</v>
      </c>
      <c r="K118" s="286">
        <v>574.96</v>
      </c>
      <c r="L118" s="286">
        <v>414</v>
      </c>
      <c r="M118" s="286">
        <v>676.62</v>
      </c>
      <c r="N118" s="286">
        <v>857.81</v>
      </c>
      <c r="O118" s="53">
        <f t="shared" si="1"/>
        <v>8374.58</v>
      </c>
    </row>
    <row r="119" spans="1:15" s="287" customFormat="1">
      <c r="A119" s="8"/>
      <c r="B119" s="9" t="s">
        <v>42</v>
      </c>
      <c r="C119" s="8">
        <v>2794.3</v>
      </c>
      <c r="D119" s="8">
        <v>2447.71</v>
      </c>
      <c r="E119" s="8">
        <v>2070.4899999999998</v>
      </c>
      <c r="F119" s="8">
        <v>1925.93</v>
      </c>
      <c r="G119" s="8">
        <v>1383.21</v>
      </c>
      <c r="H119" s="8">
        <v>1458.47</v>
      </c>
      <c r="I119" s="8">
        <v>1371.12</v>
      </c>
      <c r="J119" s="8">
        <v>1220.76</v>
      </c>
      <c r="K119" s="8">
        <v>1355.01</v>
      </c>
      <c r="L119" s="8">
        <v>1357.99</v>
      </c>
      <c r="M119" s="8">
        <v>1958.75</v>
      </c>
      <c r="N119" s="8">
        <v>1843.13</v>
      </c>
      <c r="O119" s="53">
        <f t="shared" si="1"/>
        <v>21186.870000000003</v>
      </c>
    </row>
    <row r="120" spans="1:15">
      <c r="A120" s="286"/>
      <c r="B120" s="285"/>
      <c r="C120" s="286"/>
      <c r="D120" s="286"/>
      <c r="E120" s="286"/>
      <c r="F120" s="286"/>
      <c r="G120" s="286"/>
      <c r="H120" s="286"/>
      <c r="I120" s="286"/>
      <c r="J120" s="286"/>
      <c r="K120" s="286"/>
      <c r="L120" s="286"/>
      <c r="M120" s="286"/>
      <c r="N120" s="286"/>
      <c r="O120" s="53"/>
    </row>
    <row r="121" spans="1:15">
      <c r="A121" s="285" t="s">
        <v>49</v>
      </c>
      <c r="B121" s="285" t="s">
        <v>26</v>
      </c>
      <c r="C121" s="286">
        <v>94189.88</v>
      </c>
      <c r="D121" s="286">
        <v>81712.56</v>
      </c>
      <c r="E121" s="286">
        <v>58233.38</v>
      </c>
      <c r="F121" s="286">
        <v>45971.92</v>
      </c>
      <c r="G121" s="286">
        <v>28766.71</v>
      </c>
      <c r="H121" s="286">
        <v>26400.67</v>
      </c>
      <c r="I121" s="286">
        <v>24104.49</v>
      </c>
      <c r="J121" s="286">
        <v>21030.25</v>
      </c>
      <c r="K121" s="286">
        <v>21818.15</v>
      </c>
      <c r="L121" s="286">
        <v>23850.23</v>
      </c>
      <c r="M121" s="286">
        <v>41639.47</v>
      </c>
      <c r="N121" s="286">
        <v>54854.82</v>
      </c>
      <c r="O121" s="53">
        <f t="shared" si="1"/>
        <v>522572.52999999997</v>
      </c>
    </row>
    <row r="122" spans="1:15">
      <c r="A122" s="286"/>
      <c r="B122" s="285" t="s">
        <v>27</v>
      </c>
      <c r="C122" s="286">
        <v>26064.91</v>
      </c>
      <c r="D122" s="286">
        <v>23552.41</v>
      </c>
      <c r="E122" s="286">
        <v>15418.09</v>
      </c>
      <c r="F122" s="286">
        <v>10682.04</v>
      </c>
      <c r="G122" s="286">
        <v>5797.5</v>
      </c>
      <c r="H122" s="286">
        <v>5697.78</v>
      </c>
      <c r="I122" s="286">
        <v>3936.94</v>
      </c>
      <c r="J122" s="286">
        <v>3183.26</v>
      </c>
      <c r="K122" s="286">
        <v>3217.25</v>
      </c>
      <c r="L122" s="286">
        <v>5344.9</v>
      </c>
      <c r="M122" s="286">
        <v>11109.04</v>
      </c>
      <c r="N122" s="286">
        <v>14965.99</v>
      </c>
      <c r="O122" s="53">
        <f t="shared" si="1"/>
        <v>128970.11</v>
      </c>
    </row>
    <row r="123" spans="1:15">
      <c r="A123" s="286"/>
      <c r="B123" s="295" t="s">
        <v>28</v>
      </c>
      <c r="C123" s="296">
        <v>151911.57</v>
      </c>
      <c r="D123" s="296">
        <v>143258.18</v>
      </c>
      <c r="E123" s="296">
        <v>108500.65</v>
      </c>
      <c r="F123" s="296">
        <v>92178.62</v>
      </c>
      <c r="G123" s="296">
        <v>58868.27</v>
      </c>
      <c r="H123" s="296">
        <v>45797.06</v>
      </c>
      <c r="I123" s="296">
        <v>55572.89</v>
      </c>
      <c r="J123" s="296">
        <v>38238.620000000003</v>
      </c>
      <c r="K123" s="296">
        <v>44339.02</v>
      </c>
      <c r="L123" s="296">
        <v>48525.24</v>
      </c>
      <c r="M123" s="296">
        <v>74690.31</v>
      </c>
      <c r="N123" s="296">
        <v>95091.3</v>
      </c>
      <c r="O123" s="54">
        <f t="shared" si="1"/>
        <v>956971.73000000021</v>
      </c>
    </row>
    <row r="124" spans="1:15">
      <c r="A124" s="286"/>
      <c r="B124" s="285" t="s">
        <v>29</v>
      </c>
      <c r="C124" s="286">
        <v>173925.4</v>
      </c>
      <c r="D124" s="286">
        <v>157247.59</v>
      </c>
      <c r="E124" s="286">
        <v>110403.85</v>
      </c>
      <c r="F124" s="286">
        <v>90618.39</v>
      </c>
      <c r="G124" s="286">
        <v>62082.879999999997</v>
      </c>
      <c r="H124" s="286">
        <v>60026.76</v>
      </c>
      <c r="I124" s="286">
        <v>54424.35</v>
      </c>
      <c r="J124" s="286">
        <v>47450.89</v>
      </c>
      <c r="K124" s="286">
        <v>52347.55</v>
      </c>
      <c r="L124" s="286">
        <v>62330.64</v>
      </c>
      <c r="M124" s="286">
        <v>91329.66</v>
      </c>
      <c r="N124" s="286">
        <v>110381.17</v>
      </c>
      <c r="O124" s="53">
        <f t="shared" si="1"/>
        <v>1072569.1300000001</v>
      </c>
    </row>
    <row r="125" spans="1:15">
      <c r="A125" s="286"/>
      <c r="B125" s="285" t="s">
        <v>30</v>
      </c>
      <c r="C125" s="286">
        <v>15619.39</v>
      </c>
      <c r="D125" s="286">
        <v>13165.53</v>
      </c>
      <c r="E125" s="286">
        <v>10011.91</v>
      </c>
      <c r="F125" s="286">
        <v>7274.07</v>
      </c>
      <c r="G125" s="286">
        <v>3161.68</v>
      </c>
      <c r="H125" s="286">
        <v>3634.47</v>
      </c>
      <c r="I125" s="286">
        <v>2573.54</v>
      </c>
      <c r="J125" s="286">
        <v>2351.9899999999998</v>
      </c>
      <c r="K125" s="286">
        <v>2409.79</v>
      </c>
      <c r="L125" s="286">
        <v>3169.33</v>
      </c>
      <c r="M125" s="286">
        <v>5425.77</v>
      </c>
      <c r="N125" s="286">
        <v>7577.98</v>
      </c>
      <c r="O125" s="53">
        <f t="shared" si="1"/>
        <v>76375.45</v>
      </c>
    </row>
    <row r="126" spans="1:15">
      <c r="A126" s="286"/>
      <c r="B126" s="285" t="s">
        <v>31</v>
      </c>
      <c r="C126" s="286">
        <v>146290.19</v>
      </c>
      <c r="D126" s="286">
        <v>128384.68</v>
      </c>
      <c r="E126" s="286">
        <v>103994.94</v>
      </c>
      <c r="F126" s="286">
        <v>90874.69</v>
      </c>
      <c r="G126" s="286">
        <v>66353.45</v>
      </c>
      <c r="H126" s="286">
        <v>60286.2</v>
      </c>
      <c r="I126" s="286">
        <v>56428.38</v>
      </c>
      <c r="J126" s="286">
        <v>57535.41</v>
      </c>
      <c r="K126" s="286">
        <v>59714.89</v>
      </c>
      <c r="L126" s="286">
        <v>57726.97</v>
      </c>
      <c r="M126" s="286">
        <v>72909.259999999995</v>
      </c>
      <c r="N126" s="286">
        <v>85699.58</v>
      </c>
      <c r="O126" s="53">
        <f t="shared" si="1"/>
        <v>986198.6399999999</v>
      </c>
    </row>
    <row r="127" spans="1:15">
      <c r="A127" s="286"/>
      <c r="B127" s="285" t="s">
        <v>32</v>
      </c>
      <c r="C127" s="286">
        <v>84555.39</v>
      </c>
      <c r="D127" s="286">
        <v>77031.570000000007</v>
      </c>
      <c r="E127" s="286">
        <v>53794.75</v>
      </c>
      <c r="F127" s="286">
        <v>46990.28</v>
      </c>
      <c r="G127" s="286">
        <v>28067.73</v>
      </c>
      <c r="H127" s="286">
        <v>25359.87</v>
      </c>
      <c r="I127" s="286">
        <v>17610.5</v>
      </c>
      <c r="J127" s="286">
        <v>17953.900000000001</v>
      </c>
      <c r="K127" s="286">
        <v>20097.96</v>
      </c>
      <c r="L127" s="286">
        <v>25898.12</v>
      </c>
      <c r="M127" s="286">
        <v>44981.47</v>
      </c>
      <c r="N127" s="286">
        <v>52906.17</v>
      </c>
      <c r="O127" s="53">
        <f t="shared" si="1"/>
        <v>495247.71</v>
      </c>
    </row>
    <row r="128" spans="1:15">
      <c r="A128" s="286"/>
      <c r="B128" s="285" t="s">
        <v>33</v>
      </c>
      <c r="C128" s="286">
        <v>3291.22</v>
      </c>
      <c r="D128" s="286">
        <v>2427.06</v>
      </c>
      <c r="E128" s="286">
        <v>1971.96</v>
      </c>
      <c r="F128" s="286">
        <v>1537.37</v>
      </c>
      <c r="G128" s="286">
        <v>815.94</v>
      </c>
      <c r="H128" s="286">
        <v>473.35</v>
      </c>
      <c r="I128" s="286">
        <v>490.27</v>
      </c>
      <c r="J128" s="286">
        <v>422.28</v>
      </c>
      <c r="K128" s="286">
        <v>836.56</v>
      </c>
      <c r="L128" s="286">
        <v>1143.82</v>
      </c>
      <c r="M128" s="286">
        <v>1834.38</v>
      </c>
      <c r="N128" s="286">
        <v>2376.85</v>
      </c>
      <c r="O128" s="53">
        <f t="shared" si="1"/>
        <v>17621.060000000001</v>
      </c>
    </row>
    <row r="129" spans="1:15">
      <c r="A129" s="286"/>
      <c r="B129" s="285" t="s">
        <v>34</v>
      </c>
      <c r="C129" s="286">
        <v>15347.02</v>
      </c>
      <c r="D129" s="286">
        <v>12908.54</v>
      </c>
      <c r="E129" s="286">
        <v>7891.64</v>
      </c>
      <c r="F129" s="286">
        <v>5613.83</v>
      </c>
      <c r="G129" s="286">
        <v>2421.46</v>
      </c>
      <c r="H129" s="286">
        <v>1393.53</v>
      </c>
      <c r="I129" s="286">
        <v>1297.6600000000001</v>
      </c>
      <c r="J129" s="286">
        <v>1329</v>
      </c>
      <c r="K129" s="286">
        <v>1448.41</v>
      </c>
      <c r="L129" s="286">
        <v>2566.44</v>
      </c>
      <c r="M129" s="286">
        <v>6371.39</v>
      </c>
      <c r="N129" s="286">
        <v>7837.67</v>
      </c>
      <c r="O129" s="53">
        <f t="shared" si="1"/>
        <v>66426.590000000011</v>
      </c>
    </row>
    <row r="130" spans="1:15">
      <c r="A130" s="286"/>
      <c r="B130" s="285" t="s">
        <v>35</v>
      </c>
      <c r="C130" s="286">
        <v>7069.03</v>
      </c>
      <c r="D130" s="286">
        <v>4865.18</v>
      </c>
      <c r="E130" s="286">
        <v>3070.01</v>
      </c>
      <c r="F130" s="286">
        <v>1656.54</v>
      </c>
      <c r="G130" s="286">
        <v>325.94</v>
      </c>
      <c r="H130" s="286">
        <v>260.44</v>
      </c>
      <c r="I130" s="286">
        <v>430.42</v>
      </c>
      <c r="J130" s="286">
        <v>401.66</v>
      </c>
      <c r="K130" s="286">
        <v>487.89</v>
      </c>
      <c r="L130" s="286">
        <v>863.57</v>
      </c>
      <c r="M130" s="286">
        <v>1762.46</v>
      </c>
      <c r="N130" s="286">
        <v>3190.87</v>
      </c>
      <c r="O130" s="53">
        <f t="shared" si="1"/>
        <v>24384.009999999991</v>
      </c>
    </row>
    <row r="131" spans="1:15">
      <c r="A131" s="286"/>
      <c r="B131" s="285" t="s">
        <v>36</v>
      </c>
      <c r="C131" s="286">
        <v>79915.320000000007</v>
      </c>
      <c r="D131" s="286">
        <v>70451.490000000005</v>
      </c>
      <c r="E131" s="286">
        <v>54606.64</v>
      </c>
      <c r="F131" s="286">
        <v>43480.67</v>
      </c>
      <c r="G131" s="286">
        <v>28612.99</v>
      </c>
      <c r="H131" s="286">
        <v>23750.22</v>
      </c>
      <c r="I131" s="286">
        <v>20262.89</v>
      </c>
      <c r="J131" s="286">
        <v>20248.060000000001</v>
      </c>
      <c r="K131" s="286">
        <v>21169.759999999998</v>
      </c>
      <c r="L131" s="286">
        <v>24764.55</v>
      </c>
      <c r="M131" s="286">
        <v>38777.75</v>
      </c>
      <c r="N131" s="286">
        <v>50308.42</v>
      </c>
      <c r="O131" s="53">
        <f t="shared" si="1"/>
        <v>476348.75999999995</v>
      </c>
    </row>
    <row r="132" spans="1:15">
      <c r="A132" s="286"/>
      <c r="B132" s="285" t="s">
        <v>37</v>
      </c>
      <c r="C132" s="286">
        <v>4514.03</v>
      </c>
      <c r="D132" s="286">
        <v>3079.67</v>
      </c>
      <c r="E132" s="286">
        <v>2182.71</v>
      </c>
      <c r="F132" s="286">
        <v>1621.21</v>
      </c>
      <c r="G132" s="286">
        <v>922.39</v>
      </c>
      <c r="H132" s="286">
        <v>711.09</v>
      </c>
      <c r="I132" s="286">
        <v>712.36</v>
      </c>
      <c r="J132" s="286">
        <v>664.3</v>
      </c>
      <c r="K132" s="286">
        <v>771.61</v>
      </c>
      <c r="L132" s="286">
        <v>1155.28</v>
      </c>
      <c r="M132" s="286">
        <v>1909.14</v>
      </c>
      <c r="N132" s="286">
        <v>2490.0500000000002</v>
      </c>
      <c r="O132" s="53">
        <f t="shared" si="1"/>
        <v>20733.84</v>
      </c>
    </row>
    <row r="133" spans="1:15">
      <c r="A133" s="286"/>
      <c r="B133" s="285" t="s">
        <v>38</v>
      </c>
      <c r="C133" s="286">
        <v>94160.09</v>
      </c>
      <c r="D133" s="286">
        <v>91247.58</v>
      </c>
      <c r="E133" s="286">
        <v>74492.44</v>
      </c>
      <c r="F133" s="286">
        <v>62493.53</v>
      </c>
      <c r="G133" s="286">
        <v>44986.54</v>
      </c>
      <c r="H133" s="286">
        <v>36683.550000000003</v>
      </c>
      <c r="I133" s="286">
        <v>34765.64</v>
      </c>
      <c r="J133" s="286">
        <v>32956.83</v>
      </c>
      <c r="K133" s="286">
        <v>38769.64</v>
      </c>
      <c r="L133" s="286">
        <v>38645.79</v>
      </c>
      <c r="M133" s="286">
        <v>56038.239999999998</v>
      </c>
      <c r="N133" s="286">
        <v>55811.17</v>
      </c>
      <c r="O133" s="53">
        <f t="shared" si="1"/>
        <v>661051.04</v>
      </c>
    </row>
    <row r="134" spans="1:15">
      <c r="A134" s="286"/>
      <c r="B134" s="285" t="s">
        <v>39</v>
      </c>
      <c r="C134" s="286">
        <v>106364.11</v>
      </c>
      <c r="D134" s="286">
        <v>99310.94</v>
      </c>
      <c r="E134" s="286">
        <v>73411.12</v>
      </c>
      <c r="F134" s="286">
        <v>60557.34</v>
      </c>
      <c r="G134" s="286">
        <v>36322.82</v>
      </c>
      <c r="H134" s="286">
        <v>33336.03</v>
      </c>
      <c r="I134" s="286">
        <v>29973.49</v>
      </c>
      <c r="J134" s="286">
        <v>29916.95</v>
      </c>
      <c r="K134" s="286">
        <v>29451.07</v>
      </c>
      <c r="L134" s="286">
        <v>34395.519999999997</v>
      </c>
      <c r="M134" s="286">
        <v>52796.45</v>
      </c>
      <c r="N134" s="286">
        <v>65693.84</v>
      </c>
      <c r="O134" s="53">
        <f t="shared" si="1"/>
        <v>651529.67999999993</v>
      </c>
    </row>
    <row r="135" spans="1:15">
      <c r="A135" s="286"/>
      <c r="B135" s="285" t="s">
        <v>40</v>
      </c>
      <c r="C135" s="286">
        <v>10899.85</v>
      </c>
      <c r="D135" s="286">
        <v>10326.780000000001</v>
      </c>
      <c r="E135" s="286">
        <v>8810.39</v>
      </c>
      <c r="F135" s="286">
        <v>6553.24</v>
      </c>
      <c r="G135" s="286">
        <v>3855.84</v>
      </c>
      <c r="H135" s="286">
        <v>3147.11</v>
      </c>
      <c r="I135" s="286">
        <v>2246.09</v>
      </c>
      <c r="J135" s="286">
        <v>2646.95</v>
      </c>
      <c r="K135" s="286">
        <v>2115.4</v>
      </c>
      <c r="L135" s="286">
        <v>1996.95</v>
      </c>
      <c r="M135" s="286">
        <v>5420.13</v>
      </c>
      <c r="N135" s="286">
        <v>7859.3</v>
      </c>
      <c r="O135" s="53">
        <f t="shared" si="1"/>
        <v>65878.03</v>
      </c>
    </row>
    <row r="136" spans="1:15">
      <c r="A136" s="286"/>
      <c r="B136" s="285" t="s">
        <v>41</v>
      </c>
      <c r="C136" s="286">
        <v>106488.78</v>
      </c>
      <c r="D136" s="286">
        <v>94482.53</v>
      </c>
      <c r="E136" s="286">
        <v>84812.99</v>
      </c>
      <c r="F136" s="286">
        <v>72836.34</v>
      </c>
      <c r="G136" s="286">
        <v>56211.31</v>
      </c>
      <c r="H136" s="286">
        <v>49272.5</v>
      </c>
      <c r="I136" s="286">
        <v>46814.85</v>
      </c>
      <c r="J136" s="286">
        <v>41626.17</v>
      </c>
      <c r="K136" s="286">
        <v>43777.27</v>
      </c>
      <c r="L136" s="286">
        <v>39911.47</v>
      </c>
      <c r="M136" s="286">
        <v>47809.18</v>
      </c>
      <c r="N136" s="286">
        <v>59897.18</v>
      </c>
      <c r="O136" s="53">
        <f t="shared" si="1"/>
        <v>743940.57000000007</v>
      </c>
    </row>
    <row r="137" spans="1:15" s="287" customFormat="1">
      <c r="A137" s="8"/>
      <c r="B137" s="9" t="s">
        <v>42</v>
      </c>
      <c r="C137" s="8">
        <v>1120606.18</v>
      </c>
      <c r="D137" s="8">
        <v>1013452.29</v>
      </c>
      <c r="E137" s="8">
        <v>771607.47</v>
      </c>
      <c r="F137" s="8">
        <v>640940.07999999996</v>
      </c>
      <c r="G137" s="8">
        <v>427573.45</v>
      </c>
      <c r="H137" s="8">
        <v>376230.63</v>
      </c>
      <c r="I137" s="8">
        <v>351644.76</v>
      </c>
      <c r="J137" s="8">
        <v>317956.52</v>
      </c>
      <c r="K137" s="8">
        <v>342772.22</v>
      </c>
      <c r="L137" s="8">
        <v>372288.82</v>
      </c>
      <c r="M137" s="8">
        <v>554804.1</v>
      </c>
      <c r="N137" s="8">
        <v>676942.36</v>
      </c>
      <c r="O137" s="53">
        <f t="shared" si="1"/>
        <v>6966818.879999999</v>
      </c>
    </row>
  </sheetData>
  <mergeCells count="1">
    <mergeCell ref="C10:N10"/>
  </mergeCells>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O137"/>
  <sheetViews>
    <sheetView topLeftCell="A4" workbookViewId="0">
      <selection activeCell="C15" sqref="C15:N15"/>
    </sheetView>
  </sheetViews>
  <sheetFormatPr defaultRowHeight="15"/>
  <cols>
    <col min="1" max="1" width="36.42578125" customWidth="1"/>
    <col min="2" max="2" width="34.7109375" bestFit="1" customWidth="1"/>
    <col min="3" max="8" width="15.140625" bestFit="1" customWidth="1"/>
    <col min="9" max="14" width="10.7109375" customWidth="1"/>
    <col min="15" max="15" width="10.5703125" style="1" bestFit="1" customWidth="1"/>
  </cols>
  <sheetData>
    <row r="1" spans="1:15" s="697" customFormat="1">
      <c r="A1" s="74" t="s">
        <v>2251</v>
      </c>
      <c r="O1" s="700"/>
    </row>
    <row r="2" spans="1:15" s="697" customFormat="1">
      <c r="A2" s="707"/>
      <c r="O2" s="700"/>
    </row>
    <row r="3" spans="1:15">
      <c r="A3" s="3" t="s">
        <v>3</v>
      </c>
      <c r="B3" s="12"/>
      <c r="C3" s="12"/>
      <c r="D3" s="12"/>
      <c r="E3" s="12"/>
      <c r="F3" s="12"/>
      <c r="G3" s="12"/>
      <c r="H3" s="12"/>
      <c r="I3" s="12"/>
    </row>
    <row r="4" spans="1:15">
      <c r="A4" s="4" t="s">
        <v>4</v>
      </c>
    </row>
    <row r="5" spans="1:15">
      <c r="A5" s="4" t="s">
        <v>5</v>
      </c>
    </row>
    <row r="6" spans="1:15">
      <c r="A6" s="4" t="s">
        <v>6</v>
      </c>
    </row>
    <row r="7" spans="1:15">
      <c r="A7" s="4" t="s">
        <v>7</v>
      </c>
    </row>
    <row r="8" spans="1:15">
      <c r="A8" s="4" t="s">
        <v>8</v>
      </c>
    </row>
    <row r="9" spans="1:15">
      <c r="A9" s="4" t="s">
        <v>9</v>
      </c>
    </row>
    <row r="10" spans="1:15" ht="15.75">
      <c r="C10" s="1141" t="s">
        <v>877</v>
      </c>
      <c r="D10" s="1141"/>
      <c r="E10" s="1141"/>
      <c r="F10" s="1141"/>
      <c r="G10" s="1141"/>
      <c r="H10" s="1141"/>
      <c r="I10" s="1141"/>
      <c r="J10" s="1141"/>
      <c r="K10" s="1141"/>
      <c r="L10" s="1141"/>
      <c r="M10" s="1141"/>
      <c r="N10" s="1141"/>
    </row>
    <row r="11" spans="1:15">
      <c r="C11" s="4" t="s">
        <v>11</v>
      </c>
      <c r="D11" s="4" t="s">
        <v>12</v>
      </c>
      <c r="E11" s="4" t="s">
        <v>13</v>
      </c>
      <c r="F11" s="4" t="s">
        <v>14</v>
      </c>
      <c r="G11" s="4" t="s">
        <v>15</v>
      </c>
      <c r="H11" s="4" t="s">
        <v>16</v>
      </c>
      <c r="I11" s="4" t="s">
        <v>17</v>
      </c>
      <c r="J11" s="4" t="s">
        <v>18</v>
      </c>
      <c r="K11" s="4" t="s">
        <v>19</v>
      </c>
      <c r="L11" s="4" t="s">
        <v>20</v>
      </c>
      <c r="M11" s="4" t="s">
        <v>21</v>
      </c>
      <c r="N11" s="4" t="s">
        <v>22</v>
      </c>
      <c r="O11" s="10" t="s">
        <v>50</v>
      </c>
    </row>
    <row r="12" spans="1:15">
      <c r="C12" s="5" t="s">
        <v>878</v>
      </c>
      <c r="D12" s="5" t="s">
        <v>878</v>
      </c>
      <c r="E12" s="5" t="s">
        <v>878</v>
      </c>
      <c r="F12" s="5" t="s">
        <v>878</v>
      </c>
      <c r="G12" s="5" t="s">
        <v>878</v>
      </c>
      <c r="H12" s="5" t="s">
        <v>878</v>
      </c>
      <c r="I12" s="5" t="s">
        <v>878</v>
      </c>
      <c r="J12" s="5" t="s">
        <v>878</v>
      </c>
      <c r="K12" s="5" t="s">
        <v>878</v>
      </c>
      <c r="L12" s="5" t="s">
        <v>876</v>
      </c>
      <c r="M12" s="5" t="s">
        <v>876</v>
      </c>
      <c r="N12" s="5" t="s">
        <v>876</v>
      </c>
    </row>
    <row r="13" spans="1:15">
      <c r="A13" s="288" t="s">
        <v>25</v>
      </c>
      <c r="B13" s="288" t="s">
        <v>26</v>
      </c>
      <c r="C13" s="231">
        <v>23829.7</v>
      </c>
      <c r="D13" s="231">
        <v>19902.900000000001</v>
      </c>
      <c r="E13" s="231">
        <v>21425.1</v>
      </c>
      <c r="F13" s="231">
        <v>9862.5</v>
      </c>
      <c r="G13" s="231">
        <v>3963.8</v>
      </c>
      <c r="H13" s="231">
        <v>2110.9</v>
      </c>
      <c r="I13" s="231">
        <v>1683.1</v>
      </c>
      <c r="J13" s="231">
        <v>1628.8</v>
      </c>
      <c r="K13" s="231">
        <v>1623.4</v>
      </c>
      <c r="L13" s="231">
        <v>2461.9</v>
      </c>
      <c r="M13" s="231">
        <v>6144.7</v>
      </c>
      <c r="N13" s="231">
        <v>14297</v>
      </c>
      <c r="O13" s="53">
        <f>SUM(C13:N13)</f>
        <v>108933.8</v>
      </c>
    </row>
    <row r="14" spans="1:15">
      <c r="A14" s="231"/>
      <c r="B14" s="288" t="s">
        <v>27</v>
      </c>
      <c r="C14" s="231">
        <v>399</v>
      </c>
      <c r="D14" s="231">
        <v>362.7</v>
      </c>
      <c r="E14" s="231">
        <v>294.89999999999998</v>
      </c>
      <c r="F14" s="231">
        <v>104.1</v>
      </c>
      <c r="G14" s="231">
        <v>49</v>
      </c>
      <c r="H14" s="231">
        <v>18.2</v>
      </c>
      <c r="I14" s="231">
        <v>15.9</v>
      </c>
      <c r="J14" s="231">
        <v>26.1</v>
      </c>
      <c r="K14" s="231">
        <v>14.9</v>
      </c>
      <c r="L14" s="231">
        <v>72.5</v>
      </c>
      <c r="M14" s="231">
        <v>165.5</v>
      </c>
      <c r="N14" s="231">
        <v>469.7</v>
      </c>
      <c r="O14" s="53">
        <f t="shared" ref="O14:O77" si="0">SUM(C14:N14)</f>
        <v>1992.5</v>
      </c>
    </row>
    <row r="15" spans="1:15">
      <c r="A15" s="231"/>
      <c r="B15" s="294" t="s">
        <v>28</v>
      </c>
      <c r="C15" s="293">
        <v>57994.900700000006</v>
      </c>
      <c r="D15" s="293">
        <v>48445.709699999999</v>
      </c>
      <c r="E15" s="293">
        <v>34838.571000000004</v>
      </c>
      <c r="F15" s="293">
        <v>15088.16</v>
      </c>
      <c r="G15" s="293">
        <v>7488.94</v>
      </c>
      <c r="H15" s="293">
        <v>4674.6899999999996</v>
      </c>
      <c r="I15" s="293">
        <v>3959.22</v>
      </c>
      <c r="J15" s="293">
        <v>3898.53</v>
      </c>
      <c r="K15" s="293">
        <v>4608.3999999999996</v>
      </c>
      <c r="L15" s="293">
        <v>7338.73</v>
      </c>
      <c r="M15" s="293">
        <v>16797.48</v>
      </c>
      <c r="N15" s="293">
        <v>46700.44</v>
      </c>
      <c r="O15" s="54">
        <f t="shared" si="0"/>
        <v>251833.77140000003</v>
      </c>
    </row>
    <row r="16" spans="1:15">
      <c r="A16" s="231"/>
      <c r="B16" s="288" t="s">
        <v>29</v>
      </c>
      <c r="C16" s="231">
        <v>46749.5</v>
      </c>
      <c r="D16" s="231">
        <v>40093.599999999999</v>
      </c>
      <c r="E16" s="231">
        <v>37741.1</v>
      </c>
      <c r="F16" s="231">
        <v>13748</v>
      </c>
      <c r="G16" s="231">
        <v>6069.9</v>
      </c>
      <c r="H16" s="231">
        <v>3351.6</v>
      </c>
      <c r="I16" s="231">
        <v>2764.8</v>
      </c>
      <c r="J16" s="231">
        <v>2560.8000000000002</v>
      </c>
      <c r="K16" s="231">
        <v>2884.8</v>
      </c>
      <c r="L16" s="231">
        <v>6215.4</v>
      </c>
      <c r="M16" s="231">
        <v>15427.5</v>
      </c>
      <c r="N16" s="231">
        <v>35872.6</v>
      </c>
      <c r="O16" s="53">
        <f t="shared" si="0"/>
        <v>213479.59999999998</v>
      </c>
    </row>
    <row r="17" spans="1:15">
      <c r="A17" s="231"/>
      <c r="B17" s="288" t="s">
        <v>30</v>
      </c>
      <c r="C17" s="231">
        <v>2327.4</v>
      </c>
      <c r="D17" s="231">
        <v>2010.3</v>
      </c>
      <c r="E17" s="231">
        <v>2346.9</v>
      </c>
      <c r="F17" s="231">
        <v>1146.8</v>
      </c>
      <c r="G17" s="231">
        <v>431.8</v>
      </c>
      <c r="H17" s="231">
        <v>202.6</v>
      </c>
      <c r="I17" s="231">
        <v>133.9</v>
      </c>
      <c r="J17" s="231">
        <v>105.4</v>
      </c>
      <c r="K17" s="231">
        <v>95.4</v>
      </c>
      <c r="L17" s="231">
        <v>170.3</v>
      </c>
      <c r="M17" s="231">
        <v>501.4</v>
      </c>
      <c r="N17" s="231">
        <v>1134.2</v>
      </c>
      <c r="O17" s="53">
        <f t="shared" si="0"/>
        <v>10606.4</v>
      </c>
    </row>
    <row r="18" spans="1:15">
      <c r="A18" s="231"/>
      <c r="B18" s="288" t="s">
        <v>31</v>
      </c>
      <c r="C18" s="231">
        <v>32997.890400000004</v>
      </c>
      <c r="D18" s="231">
        <v>27775.343099999998</v>
      </c>
      <c r="E18" s="231">
        <v>30026.130100000002</v>
      </c>
      <c r="F18" s="231">
        <v>13257.3</v>
      </c>
      <c r="G18" s="231">
        <v>5883.87</v>
      </c>
      <c r="H18" s="231">
        <v>3901.83</v>
      </c>
      <c r="I18" s="231">
        <v>2630.63</v>
      </c>
      <c r="J18" s="231">
        <v>2835.05</v>
      </c>
      <c r="K18" s="231">
        <v>2600.2600000000002</v>
      </c>
      <c r="L18" s="231">
        <v>3299.03</v>
      </c>
      <c r="M18" s="231">
        <v>6226.95</v>
      </c>
      <c r="N18" s="231">
        <v>15345.21</v>
      </c>
      <c r="O18" s="53">
        <f t="shared" si="0"/>
        <v>146779.49360000002</v>
      </c>
    </row>
    <row r="19" spans="1:15">
      <c r="A19" s="231"/>
      <c r="B19" s="288" t="s">
        <v>32</v>
      </c>
      <c r="C19" s="231">
        <v>3815.9</v>
      </c>
      <c r="D19" s="231">
        <v>3268.9</v>
      </c>
      <c r="E19" s="231">
        <v>2661</v>
      </c>
      <c r="F19" s="231">
        <v>1072.5999999999999</v>
      </c>
      <c r="G19" s="231">
        <v>514.79999999999995</v>
      </c>
      <c r="H19" s="231">
        <v>226.7</v>
      </c>
      <c r="I19" s="231">
        <v>152.6</v>
      </c>
      <c r="J19" s="231">
        <v>152</v>
      </c>
      <c r="K19" s="231">
        <v>154.4</v>
      </c>
      <c r="L19" s="231">
        <v>301.3</v>
      </c>
      <c r="M19" s="231">
        <v>964.8</v>
      </c>
      <c r="N19" s="231">
        <v>2617.9</v>
      </c>
      <c r="O19" s="53">
        <f t="shared" si="0"/>
        <v>15902.899999999998</v>
      </c>
    </row>
    <row r="20" spans="1:15">
      <c r="A20" s="231"/>
      <c r="B20" s="288" t="s">
        <v>33</v>
      </c>
      <c r="C20" s="231">
        <v>1076.2</v>
      </c>
      <c r="D20" s="231">
        <v>866.4</v>
      </c>
      <c r="E20" s="231">
        <v>666.7</v>
      </c>
      <c r="F20" s="231">
        <v>296.7</v>
      </c>
      <c r="G20" s="231">
        <v>118</v>
      </c>
      <c r="H20" s="231">
        <v>45.1</v>
      </c>
      <c r="I20" s="231">
        <v>47.2</v>
      </c>
      <c r="J20" s="231">
        <v>43.5</v>
      </c>
      <c r="K20" s="231">
        <v>57.2</v>
      </c>
      <c r="L20" s="231">
        <v>155.6</v>
      </c>
      <c r="M20" s="231">
        <v>412.3</v>
      </c>
      <c r="N20" s="231">
        <v>878.9</v>
      </c>
      <c r="O20" s="53">
        <f t="shared" si="0"/>
        <v>4663.7999999999993</v>
      </c>
    </row>
    <row r="21" spans="1:15">
      <c r="A21" s="231"/>
      <c r="B21" s="288" t="s">
        <v>34</v>
      </c>
      <c r="C21" s="231">
        <v>8061.0072999999993</v>
      </c>
      <c r="D21" s="231">
        <v>6994.7780999999995</v>
      </c>
      <c r="E21" s="231">
        <v>4178.7348999999995</v>
      </c>
      <c r="F21" s="231">
        <v>1682.78</v>
      </c>
      <c r="G21" s="231">
        <v>958.93</v>
      </c>
      <c r="H21" s="231">
        <v>540.02</v>
      </c>
      <c r="I21" s="231">
        <v>449.7</v>
      </c>
      <c r="J21" s="231">
        <v>482.12</v>
      </c>
      <c r="K21" s="231">
        <v>469.92</v>
      </c>
      <c r="L21" s="231">
        <v>879.21</v>
      </c>
      <c r="M21" s="231">
        <v>2228.0700000000002</v>
      </c>
      <c r="N21" s="231">
        <v>6618.09</v>
      </c>
      <c r="O21" s="53">
        <f t="shared" si="0"/>
        <v>33543.360299999993</v>
      </c>
    </row>
    <row r="22" spans="1:15">
      <c r="A22" s="231"/>
      <c r="B22" s="288" t="s">
        <v>35</v>
      </c>
      <c r="C22" s="231">
        <v>1295.0999999999999</v>
      </c>
      <c r="D22" s="231">
        <v>1186.7</v>
      </c>
      <c r="E22" s="231">
        <v>926.4</v>
      </c>
      <c r="F22" s="231">
        <v>349.9</v>
      </c>
      <c r="G22" s="231">
        <v>146</v>
      </c>
      <c r="H22" s="231">
        <v>68</v>
      </c>
      <c r="I22" s="231">
        <v>68.7</v>
      </c>
      <c r="J22" s="231">
        <v>65.3</v>
      </c>
      <c r="K22" s="231">
        <v>70.400000000000006</v>
      </c>
      <c r="L22" s="231">
        <v>228.2</v>
      </c>
      <c r="M22" s="231">
        <v>561.9</v>
      </c>
      <c r="N22" s="231">
        <v>1530.5</v>
      </c>
      <c r="O22" s="53">
        <f t="shared" si="0"/>
        <v>6497.0999999999995</v>
      </c>
    </row>
    <row r="23" spans="1:15">
      <c r="A23" s="231"/>
      <c r="B23" s="288" t="s">
        <v>36</v>
      </c>
      <c r="C23" s="231">
        <v>19607.900000000001</v>
      </c>
      <c r="D23" s="231">
        <v>14285.9</v>
      </c>
      <c r="E23" s="231">
        <v>15988.9</v>
      </c>
      <c r="F23" s="231">
        <v>6408.1</v>
      </c>
      <c r="G23" s="231">
        <v>2803.7</v>
      </c>
      <c r="H23" s="231">
        <v>1149.0999999999999</v>
      </c>
      <c r="I23" s="231">
        <v>947.1</v>
      </c>
      <c r="J23" s="231">
        <v>862.6</v>
      </c>
      <c r="K23" s="231">
        <v>893</v>
      </c>
      <c r="L23" s="231">
        <v>2064.1999999999998</v>
      </c>
      <c r="M23" s="231">
        <v>5219.74</v>
      </c>
      <c r="N23" s="231">
        <v>13114.77</v>
      </c>
      <c r="O23" s="53">
        <f t="shared" si="0"/>
        <v>83345.009999999995</v>
      </c>
    </row>
    <row r="24" spans="1:15">
      <c r="A24" s="231"/>
      <c r="B24" s="288" t="s">
        <v>37</v>
      </c>
      <c r="C24" s="231">
        <v>1545.4</v>
      </c>
      <c r="D24" s="231">
        <v>1325.7</v>
      </c>
      <c r="E24" s="231">
        <v>1048</v>
      </c>
      <c r="F24" s="231">
        <v>520.29999999999995</v>
      </c>
      <c r="G24" s="231">
        <v>193.2</v>
      </c>
      <c r="H24" s="231">
        <v>85</v>
      </c>
      <c r="I24" s="231">
        <v>85.3</v>
      </c>
      <c r="J24" s="231">
        <v>72.400000000000006</v>
      </c>
      <c r="K24" s="231">
        <v>80.3</v>
      </c>
      <c r="L24" s="231">
        <v>266.3</v>
      </c>
      <c r="M24" s="231">
        <v>598.9</v>
      </c>
      <c r="N24" s="231">
        <v>1441.2</v>
      </c>
      <c r="O24" s="53">
        <f t="shared" si="0"/>
        <v>7262</v>
      </c>
    </row>
    <row r="25" spans="1:15">
      <c r="A25" s="231"/>
      <c r="B25" s="288" t="s">
        <v>38</v>
      </c>
      <c r="C25" s="231">
        <v>17071</v>
      </c>
      <c r="D25" s="231">
        <v>13258.9</v>
      </c>
      <c r="E25" s="231">
        <v>14726.4</v>
      </c>
      <c r="F25" s="231">
        <v>6203.6</v>
      </c>
      <c r="G25" s="231">
        <v>2631.1</v>
      </c>
      <c r="H25" s="231">
        <v>1151.8</v>
      </c>
      <c r="I25" s="231">
        <v>727.5</v>
      </c>
      <c r="J25" s="231">
        <v>662.3</v>
      </c>
      <c r="K25" s="231">
        <v>711</v>
      </c>
      <c r="L25" s="231">
        <v>1196.5</v>
      </c>
      <c r="M25" s="231">
        <v>3668</v>
      </c>
      <c r="N25" s="231">
        <v>9389.2000000000007</v>
      </c>
      <c r="O25" s="53">
        <f t="shared" si="0"/>
        <v>71397.3</v>
      </c>
    </row>
    <row r="26" spans="1:15">
      <c r="A26" s="231"/>
      <c r="B26" s="288" t="s">
        <v>39</v>
      </c>
      <c r="C26" s="231">
        <v>34757.017500000002</v>
      </c>
      <c r="D26" s="231">
        <v>27501.194</v>
      </c>
      <c r="E26" s="231">
        <v>25495.874400000001</v>
      </c>
      <c r="F26" s="231">
        <v>11515.27</v>
      </c>
      <c r="G26" s="231">
        <v>4974.16</v>
      </c>
      <c r="H26" s="231">
        <v>2803.19</v>
      </c>
      <c r="I26" s="231">
        <v>2035.66</v>
      </c>
      <c r="J26" s="231">
        <v>1829.86</v>
      </c>
      <c r="K26" s="231">
        <v>2083.91</v>
      </c>
      <c r="L26" s="231">
        <v>3256.26</v>
      </c>
      <c r="M26" s="231">
        <v>7846.22</v>
      </c>
      <c r="N26" s="231">
        <v>21046.77</v>
      </c>
      <c r="O26" s="53">
        <f t="shared" si="0"/>
        <v>145145.38590000002</v>
      </c>
    </row>
    <row r="27" spans="1:15">
      <c r="A27" s="231"/>
      <c r="B27" s="288" t="s">
        <v>40</v>
      </c>
      <c r="C27" s="231">
        <v>1876.8</v>
      </c>
      <c r="D27" s="231">
        <v>1387.2</v>
      </c>
      <c r="E27" s="231">
        <v>1431.8</v>
      </c>
      <c r="F27" s="231">
        <v>544.20000000000005</v>
      </c>
      <c r="G27" s="231">
        <v>277.60000000000002</v>
      </c>
      <c r="H27" s="231">
        <v>101.9</v>
      </c>
      <c r="I27" s="231">
        <v>72</v>
      </c>
      <c r="J27" s="231">
        <v>69.599999999999994</v>
      </c>
      <c r="K27" s="231">
        <v>69.400000000000006</v>
      </c>
      <c r="L27" s="231">
        <v>158.19999999999999</v>
      </c>
      <c r="M27" s="231">
        <v>481.6</v>
      </c>
      <c r="N27" s="231">
        <v>1226</v>
      </c>
      <c r="O27" s="53">
        <f t="shared" si="0"/>
        <v>7696.3</v>
      </c>
    </row>
    <row r="28" spans="1:15">
      <c r="A28" s="231"/>
      <c r="B28" s="288" t="s">
        <v>41</v>
      </c>
      <c r="C28" s="231">
        <v>18952.417599999997</v>
      </c>
      <c r="D28" s="231">
        <v>15902.1312</v>
      </c>
      <c r="E28" s="231">
        <v>13121.382300000001</v>
      </c>
      <c r="F28" s="231">
        <v>4870.71</v>
      </c>
      <c r="G28" s="231">
        <v>2505.89</v>
      </c>
      <c r="H28" s="231">
        <v>1014.01</v>
      </c>
      <c r="I28" s="231">
        <v>811.62</v>
      </c>
      <c r="J28" s="231">
        <v>760.44</v>
      </c>
      <c r="K28" s="231">
        <v>813.06</v>
      </c>
      <c r="L28" s="231">
        <v>2077.33</v>
      </c>
      <c r="M28" s="231">
        <v>5500.54</v>
      </c>
      <c r="N28" s="231">
        <v>15239.78</v>
      </c>
      <c r="O28" s="53">
        <f t="shared" si="0"/>
        <v>81569.311100000006</v>
      </c>
    </row>
    <row r="29" spans="1:15">
      <c r="A29" s="8"/>
      <c r="B29" s="9" t="s">
        <v>42</v>
      </c>
      <c r="C29" s="8">
        <v>272357.1335</v>
      </c>
      <c r="D29" s="8">
        <v>224568.35609999998</v>
      </c>
      <c r="E29" s="8">
        <v>206917.8927</v>
      </c>
      <c r="F29" s="8">
        <v>86671.02</v>
      </c>
      <c r="G29" s="8">
        <v>39010.69</v>
      </c>
      <c r="H29" s="8">
        <v>21444.639999999999</v>
      </c>
      <c r="I29" s="8">
        <v>16584.93</v>
      </c>
      <c r="J29" s="8">
        <v>16054.8</v>
      </c>
      <c r="K29" s="8">
        <v>17229.75</v>
      </c>
      <c r="L29" s="8">
        <v>30140.959999999999</v>
      </c>
      <c r="M29" s="8">
        <v>72745.600000000006</v>
      </c>
      <c r="N29" s="8">
        <v>186922.26</v>
      </c>
      <c r="O29" s="53">
        <f t="shared" si="0"/>
        <v>1190648.0323000001</v>
      </c>
    </row>
    <row r="30" spans="1:15">
      <c r="A30" s="231"/>
      <c r="B30" s="288"/>
      <c r="C30" s="231"/>
      <c r="D30" s="231"/>
      <c r="E30" s="231"/>
      <c r="F30" s="231"/>
      <c r="G30" s="231"/>
      <c r="H30" s="231"/>
      <c r="I30" s="231"/>
      <c r="J30" s="231"/>
      <c r="K30" s="231"/>
      <c r="L30" s="231"/>
      <c r="M30" s="231"/>
      <c r="N30" s="231"/>
      <c r="O30" s="53"/>
    </row>
    <row r="31" spans="1:15">
      <c r="A31" s="288" t="s">
        <v>43</v>
      </c>
      <c r="B31" s="288" t="s">
        <v>26</v>
      </c>
      <c r="C31" s="231">
        <v>48476.018700000001</v>
      </c>
      <c r="D31" s="231">
        <v>39332.751599999996</v>
      </c>
      <c r="E31" s="231">
        <v>37439.638299999999</v>
      </c>
      <c r="F31" s="231">
        <v>17458.439999999999</v>
      </c>
      <c r="G31" s="231">
        <v>9603.76</v>
      </c>
      <c r="H31" s="231">
        <v>7773.66</v>
      </c>
      <c r="I31" s="231">
        <v>7483.72</v>
      </c>
      <c r="J31" s="231">
        <v>5077.74</v>
      </c>
      <c r="K31" s="231">
        <v>4981.71</v>
      </c>
      <c r="L31" s="231">
        <v>7055.88</v>
      </c>
      <c r="M31" s="231">
        <v>13406.1</v>
      </c>
      <c r="N31" s="231">
        <v>26404.77</v>
      </c>
      <c r="O31" s="53">
        <f t="shared" si="0"/>
        <v>224494.18859999999</v>
      </c>
    </row>
    <row r="32" spans="1:15">
      <c r="A32" s="231"/>
      <c r="B32" s="288" t="s">
        <v>27</v>
      </c>
      <c r="C32" s="231">
        <v>2969.5895999999998</v>
      </c>
      <c r="D32" s="231">
        <v>2760.9155999999998</v>
      </c>
      <c r="E32" s="231">
        <v>2004.8110000000001</v>
      </c>
      <c r="F32" s="231">
        <v>942.28</v>
      </c>
      <c r="G32" s="231">
        <v>427.68</v>
      </c>
      <c r="H32" s="231">
        <v>393.48</v>
      </c>
      <c r="I32" s="231">
        <v>379.07</v>
      </c>
      <c r="J32" s="231">
        <v>414.94</v>
      </c>
      <c r="K32" s="231">
        <v>451.16</v>
      </c>
      <c r="L32" s="231">
        <v>608.94000000000005</v>
      </c>
      <c r="M32" s="231">
        <v>913.65</v>
      </c>
      <c r="N32" s="231">
        <v>3184.69</v>
      </c>
      <c r="O32" s="53">
        <f t="shared" si="0"/>
        <v>15451.206200000001</v>
      </c>
    </row>
    <row r="33" spans="1:15">
      <c r="A33" s="231"/>
      <c r="B33" s="294" t="s">
        <v>28</v>
      </c>
      <c r="C33" s="293">
        <v>77234.172600000005</v>
      </c>
      <c r="D33" s="293">
        <v>70832.408200000005</v>
      </c>
      <c r="E33" s="293">
        <v>58583.115599999997</v>
      </c>
      <c r="F33" s="293">
        <v>29726.42</v>
      </c>
      <c r="G33" s="293">
        <v>18770.12</v>
      </c>
      <c r="H33" s="293">
        <v>13360.53</v>
      </c>
      <c r="I33" s="293">
        <v>11791.66</v>
      </c>
      <c r="J33" s="293">
        <v>10995.94</v>
      </c>
      <c r="K33" s="293">
        <v>14221.61</v>
      </c>
      <c r="L33" s="293">
        <v>17709.560000000001</v>
      </c>
      <c r="M33" s="293">
        <v>28637.02</v>
      </c>
      <c r="N33" s="293">
        <v>64807.49</v>
      </c>
      <c r="O33" s="54">
        <f t="shared" si="0"/>
        <v>416670.04639999999</v>
      </c>
    </row>
    <row r="34" spans="1:15">
      <c r="A34" s="231"/>
      <c r="B34" s="288" t="s">
        <v>29</v>
      </c>
      <c r="C34" s="231">
        <v>65347.206700000002</v>
      </c>
      <c r="D34" s="231">
        <v>57577.219300000004</v>
      </c>
      <c r="E34" s="231">
        <v>51291.176899999999</v>
      </c>
      <c r="F34" s="231">
        <v>20397.21</v>
      </c>
      <c r="G34" s="231">
        <v>11275.52</v>
      </c>
      <c r="H34" s="231">
        <v>9274.32</v>
      </c>
      <c r="I34" s="231">
        <v>7953.56</v>
      </c>
      <c r="J34" s="231">
        <v>7794.97</v>
      </c>
      <c r="K34" s="231">
        <v>8194</v>
      </c>
      <c r="L34" s="231">
        <v>12129.03</v>
      </c>
      <c r="M34" s="231">
        <v>24543.599999999999</v>
      </c>
      <c r="N34" s="231">
        <v>53206.53</v>
      </c>
      <c r="O34" s="53">
        <f t="shared" si="0"/>
        <v>328984.34289999993</v>
      </c>
    </row>
    <row r="35" spans="1:15">
      <c r="A35" s="231"/>
      <c r="B35" s="288" t="s">
        <v>30</v>
      </c>
      <c r="C35" s="231">
        <v>5648.1835000000001</v>
      </c>
      <c r="D35" s="231">
        <v>5251.268399999999</v>
      </c>
      <c r="E35" s="231">
        <v>5560.9688999999998</v>
      </c>
      <c r="F35" s="231">
        <v>2386.62</v>
      </c>
      <c r="G35" s="231">
        <v>954.75</v>
      </c>
      <c r="H35" s="231">
        <v>692.92</v>
      </c>
      <c r="I35" s="231">
        <v>550.98</v>
      </c>
      <c r="J35" s="231">
        <v>499.44</v>
      </c>
      <c r="K35" s="231">
        <v>490.12</v>
      </c>
      <c r="L35" s="231">
        <v>691.14</v>
      </c>
      <c r="M35" s="231">
        <v>1357.24</v>
      </c>
      <c r="N35" s="231">
        <v>3105.6</v>
      </c>
      <c r="O35" s="53">
        <f t="shared" si="0"/>
        <v>27189.230799999994</v>
      </c>
    </row>
    <row r="36" spans="1:15">
      <c r="A36" s="231"/>
      <c r="B36" s="288" t="s">
        <v>31</v>
      </c>
      <c r="C36" s="231">
        <v>46776.461000000003</v>
      </c>
      <c r="D36" s="231">
        <v>43701.235099999991</v>
      </c>
      <c r="E36" s="231">
        <v>43995.97050000001</v>
      </c>
      <c r="F36" s="231">
        <v>19817.59</v>
      </c>
      <c r="G36" s="231">
        <v>10686.43</v>
      </c>
      <c r="H36" s="231">
        <v>8163.38</v>
      </c>
      <c r="I36" s="231">
        <v>6777.19</v>
      </c>
      <c r="J36" s="231">
        <v>6966.88</v>
      </c>
      <c r="K36" s="231">
        <v>6757.08</v>
      </c>
      <c r="L36" s="231">
        <v>7851.73</v>
      </c>
      <c r="M36" s="231">
        <v>11921.98</v>
      </c>
      <c r="N36" s="231">
        <v>26482.44</v>
      </c>
      <c r="O36" s="53">
        <f t="shared" si="0"/>
        <v>239898.36660000001</v>
      </c>
    </row>
    <row r="37" spans="1:15">
      <c r="A37" s="231"/>
      <c r="B37" s="288" t="s">
        <v>32</v>
      </c>
      <c r="C37" s="231">
        <v>19623.663500000002</v>
      </c>
      <c r="D37" s="231">
        <v>17046.935000000001</v>
      </c>
      <c r="E37" s="231">
        <v>17976.4234</v>
      </c>
      <c r="F37" s="231">
        <v>8114.95</v>
      </c>
      <c r="G37" s="231">
        <v>4978.03</v>
      </c>
      <c r="H37" s="231">
        <v>4057.72</v>
      </c>
      <c r="I37" s="231">
        <v>3453.47</v>
      </c>
      <c r="J37" s="231">
        <v>3142.32</v>
      </c>
      <c r="K37" s="231">
        <v>3474.11</v>
      </c>
      <c r="L37" s="231">
        <v>4203.8</v>
      </c>
      <c r="M37" s="231">
        <v>7238.56</v>
      </c>
      <c r="N37" s="231">
        <v>15279.32</v>
      </c>
      <c r="O37" s="53">
        <f t="shared" si="0"/>
        <v>108589.30190000002</v>
      </c>
    </row>
    <row r="38" spans="1:15">
      <c r="A38" s="231"/>
      <c r="B38" s="288" t="s">
        <v>33</v>
      </c>
      <c r="C38" s="231">
        <v>2597.0012999999999</v>
      </c>
      <c r="D38" s="231">
        <v>2160.3238000000001</v>
      </c>
      <c r="E38" s="231">
        <v>1949.8764000000001</v>
      </c>
      <c r="F38" s="231">
        <v>1332.34</v>
      </c>
      <c r="G38" s="231">
        <v>653.54999999999995</v>
      </c>
      <c r="H38" s="231">
        <v>391.65</v>
      </c>
      <c r="I38" s="231">
        <v>556.75</v>
      </c>
      <c r="J38" s="231">
        <v>584.20000000000005</v>
      </c>
      <c r="K38" s="231">
        <v>886.76</v>
      </c>
      <c r="L38" s="231">
        <v>1034.26</v>
      </c>
      <c r="M38" s="231">
        <v>1596.78</v>
      </c>
      <c r="N38" s="231">
        <v>2305.04</v>
      </c>
      <c r="O38" s="53">
        <f t="shared" si="0"/>
        <v>16048.531500000001</v>
      </c>
    </row>
    <row r="39" spans="1:15">
      <c r="A39" s="231"/>
      <c r="B39" s="288" t="s">
        <v>34</v>
      </c>
      <c r="C39" s="231">
        <v>9063.4323000000004</v>
      </c>
      <c r="D39" s="231">
        <v>8109.5330999999996</v>
      </c>
      <c r="E39" s="231">
        <v>5899.1432000000004</v>
      </c>
      <c r="F39" s="231">
        <v>2735.62</v>
      </c>
      <c r="G39" s="231">
        <v>1784.84</v>
      </c>
      <c r="H39" s="231">
        <v>1040.07</v>
      </c>
      <c r="I39" s="231">
        <v>892.9</v>
      </c>
      <c r="J39" s="231">
        <v>930.83</v>
      </c>
      <c r="K39" s="231">
        <v>935.17</v>
      </c>
      <c r="L39" s="231">
        <v>1559.93</v>
      </c>
      <c r="M39" s="231">
        <v>2944.81</v>
      </c>
      <c r="N39" s="231">
        <v>8106.89</v>
      </c>
      <c r="O39" s="53">
        <f t="shared" si="0"/>
        <v>44003.168599999997</v>
      </c>
    </row>
    <row r="40" spans="1:15">
      <c r="A40" s="231"/>
      <c r="B40" s="288" t="s">
        <v>35</v>
      </c>
      <c r="C40" s="231">
        <v>1999.8607</v>
      </c>
      <c r="D40" s="231">
        <v>1510.8552999999999</v>
      </c>
      <c r="E40" s="231">
        <v>1241.7782999999999</v>
      </c>
      <c r="F40" s="231">
        <v>612.64</v>
      </c>
      <c r="G40" s="231">
        <v>379.8</v>
      </c>
      <c r="H40" s="231">
        <v>307.13</v>
      </c>
      <c r="I40" s="231">
        <v>387.13</v>
      </c>
      <c r="J40" s="231">
        <v>342.54</v>
      </c>
      <c r="K40" s="231">
        <v>377.48</v>
      </c>
      <c r="L40" s="231">
        <v>446.56</v>
      </c>
      <c r="M40" s="231">
        <v>727.19</v>
      </c>
      <c r="N40" s="231">
        <v>2671.96</v>
      </c>
      <c r="O40" s="53">
        <f t="shared" si="0"/>
        <v>11004.924300000002</v>
      </c>
    </row>
    <row r="41" spans="1:15">
      <c r="A41" s="231"/>
      <c r="B41" s="288" t="s">
        <v>36</v>
      </c>
      <c r="C41" s="231">
        <v>25077.883399999999</v>
      </c>
      <c r="D41" s="231">
        <v>17373.691699999999</v>
      </c>
      <c r="E41" s="231">
        <v>21362.667800000003</v>
      </c>
      <c r="F41" s="231">
        <v>9630.01</v>
      </c>
      <c r="G41" s="231">
        <v>5952.52</v>
      </c>
      <c r="H41" s="231">
        <v>4438.83</v>
      </c>
      <c r="I41" s="231">
        <v>3002.01</v>
      </c>
      <c r="J41" s="231">
        <v>2075.25</v>
      </c>
      <c r="K41" s="231">
        <v>2060.13</v>
      </c>
      <c r="L41" s="231">
        <v>2880.93</v>
      </c>
      <c r="M41" s="231">
        <v>5821.58</v>
      </c>
      <c r="N41" s="231">
        <v>14135.35</v>
      </c>
      <c r="O41" s="53">
        <f t="shared" si="0"/>
        <v>113810.85290000001</v>
      </c>
    </row>
    <row r="42" spans="1:15">
      <c r="A42" s="231"/>
      <c r="B42" s="288" t="s">
        <v>37</v>
      </c>
      <c r="C42" s="231">
        <v>2897.0211000000004</v>
      </c>
      <c r="D42" s="231">
        <v>2462.0898999999999</v>
      </c>
      <c r="E42" s="231">
        <v>1798.1358</v>
      </c>
      <c r="F42" s="231">
        <v>1048.33</v>
      </c>
      <c r="G42" s="231">
        <v>649.91</v>
      </c>
      <c r="H42" s="231">
        <v>576.96</v>
      </c>
      <c r="I42" s="231">
        <v>649.34</v>
      </c>
      <c r="J42" s="231">
        <v>591.41</v>
      </c>
      <c r="K42" s="231">
        <v>603.02</v>
      </c>
      <c r="L42" s="231">
        <v>664.73</v>
      </c>
      <c r="M42" s="231">
        <v>1019.89</v>
      </c>
      <c r="N42" s="231">
        <v>2736.07</v>
      </c>
      <c r="O42" s="53">
        <f t="shared" si="0"/>
        <v>15696.906800000001</v>
      </c>
    </row>
    <row r="43" spans="1:15">
      <c r="A43" s="231"/>
      <c r="B43" s="288" t="s">
        <v>38</v>
      </c>
      <c r="C43" s="231">
        <v>17327.2248</v>
      </c>
      <c r="D43" s="231">
        <v>13315.458000000001</v>
      </c>
      <c r="E43" s="231">
        <v>14953.073400000001</v>
      </c>
      <c r="F43" s="231">
        <v>5523.55</v>
      </c>
      <c r="G43" s="231">
        <v>2823.24</v>
      </c>
      <c r="H43" s="231">
        <v>1922.79</v>
      </c>
      <c r="I43" s="231">
        <v>1551.95</v>
      </c>
      <c r="J43" s="231">
        <v>1490.51</v>
      </c>
      <c r="K43" s="231">
        <v>1367.03</v>
      </c>
      <c r="L43" s="231">
        <v>1746.55</v>
      </c>
      <c r="M43" s="231">
        <v>3919.98</v>
      </c>
      <c r="N43" s="231">
        <v>8177.89</v>
      </c>
      <c r="O43" s="53">
        <f t="shared" si="0"/>
        <v>74119.246200000009</v>
      </c>
    </row>
    <row r="44" spans="1:15">
      <c r="A44" s="231"/>
      <c r="B44" s="288" t="s">
        <v>39</v>
      </c>
      <c r="C44" s="231">
        <v>31767.867699999999</v>
      </c>
      <c r="D44" s="231">
        <v>28356.5033</v>
      </c>
      <c r="E44" s="231">
        <v>26743.3871</v>
      </c>
      <c r="F44" s="231">
        <v>16396.78</v>
      </c>
      <c r="G44" s="231">
        <v>9952.7000000000007</v>
      </c>
      <c r="H44" s="231">
        <v>7756.03</v>
      </c>
      <c r="I44" s="231">
        <v>7657.96</v>
      </c>
      <c r="J44" s="231">
        <v>7204.18</v>
      </c>
      <c r="K44" s="231">
        <v>7525.12</v>
      </c>
      <c r="L44" s="231">
        <v>10011.459999999999</v>
      </c>
      <c r="M44" s="231">
        <v>15670.44</v>
      </c>
      <c r="N44" s="231">
        <v>24378.93</v>
      </c>
      <c r="O44" s="53">
        <f t="shared" si="0"/>
        <v>193421.35809999998</v>
      </c>
    </row>
    <row r="45" spans="1:15">
      <c r="A45" s="231"/>
      <c r="B45" s="288" t="s">
        <v>40</v>
      </c>
      <c r="C45" s="231">
        <v>5006.0693000000001</v>
      </c>
      <c r="D45" s="231">
        <v>3503.6486000000004</v>
      </c>
      <c r="E45" s="231">
        <v>3652.7835</v>
      </c>
      <c r="F45" s="231">
        <v>1400.14</v>
      </c>
      <c r="G45" s="231">
        <v>694.26</v>
      </c>
      <c r="H45" s="231">
        <v>305.29000000000002</v>
      </c>
      <c r="I45" s="231">
        <v>244.56</v>
      </c>
      <c r="J45" s="231">
        <v>294.77999999999997</v>
      </c>
      <c r="K45" s="231">
        <v>455.54</v>
      </c>
      <c r="L45" s="231">
        <v>674.17</v>
      </c>
      <c r="M45" s="231">
        <v>1561.6</v>
      </c>
      <c r="N45" s="231">
        <v>2933.78</v>
      </c>
      <c r="O45" s="53">
        <f t="shared" si="0"/>
        <v>20726.6214</v>
      </c>
    </row>
    <row r="46" spans="1:15">
      <c r="A46" s="231"/>
      <c r="B46" s="288" t="s">
        <v>41</v>
      </c>
      <c r="C46" s="231">
        <v>45617.117600000005</v>
      </c>
      <c r="D46" s="231">
        <v>37574.3269</v>
      </c>
      <c r="E46" s="231">
        <v>32136.5298</v>
      </c>
      <c r="F46" s="231">
        <v>13072.97</v>
      </c>
      <c r="G46" s="231">
        <v>7790.42</v>
      </c>
      <c r="H46" s="231">
        <v>5530.72</v>
      </c>
      <c r="I46" s="231">
        <v>4939.17</v>
      </c>
      <c r="J46" s="231">
        <v>4741.74</v>
      </c>
      <c r="K46" s="231">
        <v>5339.54</v>
      </c>
      <c r="L46" s="231">
        <v>7922.33</v>
      </c>
      <c r="M46" s="231">
        <v>13427.82</v>
      </c>
      <c r="N46" s="231">
        <v>33070.21</v>
      </c>
      <c r="O46" s="53">
        <f t="shared" si="0"/>
        <v>211162.89430000001</v>
      </c>
    </row>
    <row r="47" spans="1:15">
      <c r="A47" s="8"/>
      <c r="B47" s="9" t="s">
        <v>42</v>
      </c>
      <c r="C47" s="8">
        <v>407428.77380000002</v>
      </c>
      <c r="D47" s="8">
        <v>350869.16379999998</v>
      </c>
      <c r="E47" s="8">
        <v>326589.47989999998</v>
      </c>
      <c r="F47" s="8">
        <v>150595.89000000001</v>
      </c>
      <c r="G47" s="8">
        <v>87377.53</v>
      </c>
      <c r="H47" s="8">
        <v>65985.48</v>
      </c>
      <c r="I47" s="8">
        <v>58271.42</v>
      </c>
      <c r="J47" s="8">
        <v>53147.67</v>
      </c>
      <c r="K47" s="8">
        <v>58119.58</v>
      </c>
      <c r="L47" s="8">
        <v>77191</v>
      </c>
      <c r="M47" s="8">
        <v>134708.24</v>
      </c>
      <c r="N47" s="8">
        <v>290986.96000000002</v>
      </c>
      <c r="O47" s="53">
        <f t="shared" si="0"/>
        <v>2061271.1875</v>
      </c>
    </row>
    <row r="48" spans="1:15">
      <c r="A48" s="231"/>
      <c r="B48" s="288"/>
      <c r="C48" s="231"/>
      <c r="D48" s="231"/>
      <c r="E48" s="231"/>
      <c r="F48" s="231"/>
      <c r="G48" s="231"/>
      <c r="H48" s="231"/>
      <c r="I48" s="231"/>
      <c r="J48" s="231"/>
      <c r="K48" s="231"/>
      <c r="L48" s="231"/>
      <c r="M48" s="231"/>
      <c r="N48" s="231"/>
      <c r="O48" s="53"/>
    </row>
    <row r="49" spans="1:15">
      <c r="A49" s="288" t="s">
        <v>44</v>
      </c>
      <c r="B49" s="288" t="s">
        <v>26</v>
      </c>
      <c r="C49" s="231">
        <v>9284.2284</v>
      </c>
      <c r="D49" s="231">
        <v>9001.8207000000002</v>
      </c>
      <c r="E49" s="231">
        <v>7282.7568000000001</v>
      </c>
      <c r="F49" s="231">
        <v>4981.16</v>
      </c>
      <c r="G49" s="231">
        <v>4086.79</v>
      </c>
      <c r="H49" s="231">
        <v>3369.65</v>
      </c>
      <c r="I49" s="231">
        <v>3920.72</v>
      </c>
      <c r="J49" s="231">
        <v>2601.38</v>
      </c>
      <c r="K49" s="231">
        <v>3802.41</v>
      </c>
      <c r="L49" s="231">
        <v>4538.96</v>
      </c>
      <c r="M49" s="231">
        <v>5345.78</v>
      </c>
      <c r="N49" s="231">
        <v>8934.34</v>
      </c>
      <c r="O49" s="53">
        <f t="shared" si="0"/>
        <v>67149.995899999994</v>
      </c>
    </row>
    <row r="50" spans="1:15">
      <c r="A50" s="231"/>
      <c r="B50" s="288" t="s">
        <v>27</v>
      </c>
      <c r="C50" s="231">
        <v>9606</v>
      </c>
      <c r="D50" s="231">
        <v>11678.7</v>
      </c>
      <c r="E50" s="231">
        <v>8356.1</v>
      </c>
      <c r="F50" s="231">
        <v>3308.9</v>
      </c>
      <c r="G50" s="231">
        <v>1540.1</v>
      </c>
      <c r="H50" s="231">
        <v>407</v>
      </c>
      <c r="I50" s="231">
        <v>295</v>
      </c>
      <c r="J50" s="231">
        <v>282</v>
      </c>
      <c r="K50" s="231">
        <v>344</v>
      </c>
      <c r="L50" s="231">
        <v>2561.1999999999998</v>
      </c>
      <c r="M50" s="231">
        <v>5896.8</v>
      </c>
      <c r="N50" s="231">
        <v>15544</v>
      </c>
      <c r="O50" s="53">
        <f t="shared" si="0"/>
        <v>59819.8</v>
      </c>
    </row>
    <row r="51" spans="1:15">
      <c r="A51" s="231"/>
      <c r="B51" s="294" t="s">
        <v>28</v>
      </c>
      <c r="C51" s="293">
        <v>6923.3243000000002</v>
      </c>
      <c r="D51" s="293">
        <v>4152.4069</v>
      </c>
      <c r="E51" s="293">
        <v>4483.6121000000003</v>
      </c>
      <c r="F51" s="293">
        <v>5950.44</v>
      </c>
      <c r="G51" s="293">
        <v>4665.05</v>
      </c>
      <c r="H51" s="293">
        <v>6775.83</v>
      </c>
      <c r="I51" s="293">
        <v>6377.05</v>
      </c>
      <c r="J51" s="293">
        <v>9238.5400000000009</v>
      </c>
      <c r="K51" s="293">
        <v>5620.5</v>
      </c>
      <c r="L51" s="293">
        <v>6878.12</v>
      </c>
      <c r="M51" s="293">
        <v>7430.58</v>
      </c>
      <c r="N51" s="293">
        <v>5541.56</v>
      </c>
      <c r="O51" s="54">
        <f t="shared" si="0"/>
        <v>74037.013300000006</v>
      </c>
    </row>
    <row r="52" spans="1:15">
      <c r="A52" s="231"/>
      <c r="B52" s="288" t="s">
        <v>29</v>
      </c>
      <c r="C52" s="231">
        <v>18614.765299999999</v>
      </c>
      <c r="D52" s="231">
        <v>20124.884099999999</v>
      </c>
      <c r="E52" s="231">
        <v>17325.500800000002</v>
      </c>
      <c r="F52" s="231">
        <v>12670.65</v>
      </c>
      <c r="G52" s="231">
        <v>9819.17</v>
      </c>
      <c r="H52" s="231">
        <v>9740.4599999999991</v>
      </c>
      <c r="I52" s="231">
        <v>10003.99</v>
      </c>
      <c r="J52" s="231">
        <v>6738.58</v>
      </c>
      <c r="K52" s="231">
        <v>13439.84</v>
      </c>
      <c r="L52" s="231">
        <v>11474.44</v>
      </c>
      <c r="M52" s="231">
        <v>16584.22</v>
      </c>
      <c r="N52" s="231">
        <v>19444.73</v>
      </c>
      <c r="O52" s="53">
        <f t="shared" si="0"/>
        <v>165981.23020000002</v>
      </c>
    </row>
    <row r="53" spans="1:15">
      <c r="A53" s="231"/>
      <c r="B53" s="288" t="s">
        <v>30</v>
      </c>
      <c r="C53" s="231">
        <v>5782.8276999999998</v>
      </c>
      <c r="D53" s="231">
        <v>5793.6178</v>
      </c>
      <c r="E53" s="231">
        <v>5296.1524000000009</v>
      </c>
      <c r="F53" s="231">
        <v>3560.55</v>
      </c>
      <c r="G53" s="231">
        <v>2754.29</v>
      </c>
      <c r="H53" s="231">
        <v>2531.37</v>
      </c>
      <c r="I53" s="231">
        <v>1769.96</v>
      </c>
      <c r="J53" s="231">
        <v>1835.42</v>
      </c>
      <c r="K53" s="231">
        <v>1589.8</v>
      </c>
      <c r="L53" s="231">
        <v>2048.9</v>
      </c>
      <c r="M53" s="231">
        <v>2506.86</v>
      </c>
      <c r="N53" s="231">
        <v>5181.0200000000004</v>
      </c>
      <c r="O53" s="53">
        <f t="shared" si="0"/>
        <v>40650.767899999992</v>
      </c>
    </row>
    <row r="54" spans="1:15">
      <c r="A54" s="231"/>
      <c r="B54" s="288" t="s">
        <v>31</v>
      </c>
      <c r="C54" s="231">
        <v>54207.3701</v>
      </c>
      <c r="D54" s="231">
        <v>53521.058199999999</v>
      </c>
      <c r="E54" s="231">
        <v>48104.990400000002</v>
      </c>
      <c r="F54" s="231">
        <v>49197.95</v>
      </c>
      <c r="G54" s="231">
        <v>44838.080000000002</v>
      </c>
      <c r="H54" s="231">
        <v>46273.18</v>
      </c>
      <c r="I54" s="231">
        <v>43002.31</v>
      </c>
      <c r="J54" s="231">
        <v>46239.68</v>
      </c>
      <c r="K54" s="231">
        <v>46602.9</v>
      </c>
      <c r="L54" s="231">
        <v>45588.42</v>
      </c>
      <c r="M54" s="231">
        <v>48540.87</v>
      </c>
      <c r="N54" s="231">
        <v>50325.1</v>
      </c>
      <c r="O54" s="53">
        <f t="shared" si="0"/>
        <v>576441.90870000003</v>
      </c>
    </row>
    <row r="55" spans="1:15">
      <c r="A55" s="231"/>
      <c r="B55" s="288" t="s">
        <v>32</v>
      </c>
      <c r="C55" s="231">
        <v>19359.5746</v>
      </c>
      <c r="D55" s="231">
        <v>22990.802</v>
      </c>
      <c r="E55" s="231">
        <v>12808.1922</v>
      </c>
      <c r="F55" s="231">
        <v>7168.68</v>
      </c>
      <c r="G55" s="231">
        <v>4563.49</v>
      </c>
      <c r="H55" s="231">
        <v>3979.16</v>
      </c>
      <c r="I55" s="231">
        <v>3340.44</v>
      </c>
      <c r="J55" s="231">
        <v>2934.6</v>
      </c>
      <c r="K55" s="231">
        <v>3784.34</v>
      </c>
      <c r="L55" s="231">
        <v>5140.59</v>
      </c>
      <c r="M55" s="231">
        <v>8488.66</v>
      </c>
      <c r="N55" s="231">
        <v>22432.27</v>
      </c>
      <c r="O55" s="53">
        <f t="shared" si="0"/>
        <v>116990.79880000002</v>
      </c>
    </row>
    <row r="56" spans="1:15">
      <c r="A56" s="231"/>
      <c r="B56" s="288" t="s">
        <v>33</v>
      </c>
      <c r="C56" s="288" t="s">
        <v>45</v>
      </c>
      <c r="D56" s="288" t="s">
        <v>45</v>
      </c>
      <c r="E56" s="288" t="s">
        <v>45</v>
      </c>
      <c r="F56" s="288" t="s">
        <v>45</v>
      </c>
      <c r="G56" s="288" t="s">
        <v>45</v>
      </c>
      <c r="H56" s="288" t="s">
        <v>45</v>
      </c>
      <c r="I56" s="288" t="s">
        <v>45</v>
      </c>
      <c r="J56" s="288" t="s">
        <v>45</v>
      </c>
      <c r="K56" s="288" t="s">
        <v>45</v>
      </c>
      <c r="L56" s="288" t="s">
        <v>45</v>
      </c>
      <c r="M56" s="288" t="s">
        <v>45</v>
      </c>
      <c r="N56" s="288" t="s">
        <v>45</v>
      </c>
      <c r="O56" s="53">
        <f t="shared" si="0"/>
        <v>0</v>
      </c>
    </row>
    <row r="57" spans="1:15">
      <c r="A57" s="231"/>
      <c r="B57" s="288" t="s">
        <v>34</v>
      </c>
      <c r="C57" s="288" t="s">
        <v>45</v>
      </c>
      <c r="D57" s="288" t="s">
        <v>45</v>
      </c>
      <c r="E57" s="288" t="s">
        <v>45</v>
      </c>
      <c r="F57" s="288" t="s">
        <v>45</v>
      </c>
      <c r="G57" s="288" t="s">
        <v>45</v>
      </c>
      <c r="H57" s="288" t="s">
        <v>45</v>
      </c>
      <c r="I57" s="288" t="s">
        <v>45</v>
      </c>
      <c r="J57" s="288" t="s">
        <v>45</v>
      </c>
      <c r="K57" s="288" t="s">
        <v>45</v>
      </c>
      <c r="L57" s="288" t="s">
        <v>45</v>
      </c>
      <c r="M57" s="288" t="s">
        <v>45</v>
      </c>
      <c r="N57" s="288" t="s">
        <v>45</v>
      </c>
      <c r="O57" s="53">
        <f t="shared" si="0"/>
        <v>0</v>
      </c>
    </row>
    <row r="58" spans="1:15">
      <c r="A58" s="231"/>
      <c r="B58" s="288" t="s">
        <v>35</v>
      </c>
      <c r="C58" s="231">
        <v>2252.6684999999998</v>
      </c>
      <c r="D58" s="231">
        <v>2301.8931000000002</v>
      </c>
      <c r="E58" s="231">
        <v>1236.4989</v>
      </c>
      <c r="F58" s="231">
        <v>108.86</v>
      </c>
      <c r="G58" s="231">
        <v>15.35</v>
      </c>
      <c r="H58" s="288" t="s">
        <v>45</v>
      </c>
      <c r="I58" s="231">
        <v>1.1000000000000001</v>
      </c>
      <c r="J58" s="231">
        <v>0.1</v>
      </c>
      <c r="K58" s="288" t="s">
        <v>45</v>
      </c>
      <c r="L58" s="231">
        <v>56.67</v>
      </c>
      <c r="M58" s="231">
        <v>692.81</v>
      </c>
      <c r="N58" s="231">
        <v>3433.35</v>
      </c>
      <c r="O58" s="53">
        <f t="shared" si="0"/>
        <v>10099.300500000001</v>
      </c>
    </row>
    <row r="59" spans="1:15">
      <c r="A59" s="231"/>
      <c r="B59" s="288" t="s">
        <v>36</v>
      </c>
      <c r="C59" s="231">
        <v>27522.334500000001</v>
      </c>
      <c r="D59" s="231">
        <v>25266.609100000001</v>
      </c>
      <c r="E59" s="231">
        <v>24240.155200000001</v>
      </c>
      <c r="F59" s="231">
        <v>17744.7</v>
      </c>
      <c r="G59" s="231">
        <v>14760.95</v>
      </c>
      <c r="H59" s="231">
        <v>14092.73</v>
      </c>
      <c r="I59" s="231">
        <v>11165.21</v>
      </c>
      <c r="J59" s="231">
        <v>12471.03</v>
      </c>
      <c r="K59" s="231">
        <v>14430.79</v>
      </c>
      <c r="L59" s="231">
        <v>13902.76</v>
      </c>
      <c r="M59" s="231">
        <v>20210.27</v>
      </c>
      <c r="N59" s="231">
        <v>28633.24</v>
      </c>
      <c r="O59" s="53">
        <f t="shared" si="0"/>
        <v>224440.7788</v>
      </c>
    </row>
    <row r="60" spans="1:15">
      <c r="A60" s="231"/>
      <c r="B60" s="288" t="s">
        <v>37</v>
      </c>
      <c r="C60" s="288" t="s">
        <v>45</v>
      </c>
      <c r="D60" s="288" t="s">
        <v>45</v>
      </c>
      <c r="E60" s="288" t="s">
        <v>45</v>
      </c>
      <c r="F60" s="288" t="s">
        <v>45</v>
      </c>
      <c r="G60" s="288" t="s">
        <v>45</v>
      </c>
      <c r="H60" s="288" t="s">
        <v>45</v>
      </c>
      <c r="I60" s="288" t="s">
        <v>45</v>
      </c>
      <c r="J60" s="288" t="s">
        <v>45</v>
      </c>
      <c r="K60" s="288" t="s">
        <v>45</v>
      </c>
      <c r="L60" s="288" t="s">
        <v>45</v>
      </c>
      <c r="M60" s="288" t="s">
        <v>45</v>
      </c>
      <c r="N60" s="288" t="s">
        <v>45</v>
      </c>
      <c r="O60" s="53">
        <f t="shared" si="0"/>
        <v>0</v>
      </c>
    </row>
    <row r="61" spans="1:15">
      <c r="A61" s="231"/>
      <c r="B61" s="288" t="s">
        <v>38</v>
      </c>
      <c r="C61" s="231">
        <v>9509.3748999999989</v>
      </c>
      <c r="D61" s="231">
        <v>11186.337100000001</v>
      </c>
      <c r="E61" s="231">
        <v>5671.0086000000001</v>
      </c>
      <c r="F61" s="231">
        <v>5627.59</v>
      </c>
      <c r="G61" s="231">
        <v>3586.94</v>
      </c>
      <c r="H61" s="231">
        <v>3521.34</v>
      </c>
      <c r="I61" s="231">
        <v>4159.2299999999996</v>
      </c>
      <c r="J61" s="231">
        <v>3627.05</v>
      </c>
      <c r="K61" s="231">
        <v>3857.59</v>
      </c>
      <c r="L61" s="231">
        <v>3799.67</v>
      </c>
      <c r="M61" s="231">
        <v>4878.6499999999996</v>
      </c>
      <c r="N61" s="231">
        <v>8028.57</v>
      </c>
      <c r="O61" s="53">
        <f t="shared" si="0"/>
        <v>67453.350599999991</v>
      </c>
    </row>
    <row r="62" spans="1:15">
      <c r="A62" s="231"/>
      <c r="B62" s="288" t="s">
        <v>39</v>
      </c>
      <c r="C62" s="231">
        <v>9405.6258999999991</v>
      </c>
      <c r="D62" s="231">
        <v>7237.826</v>
      </c>
      <c r="E62" s="231">
        <v>8013.6769999999997</v>
      </c>
      <c r="F62" s="231">
        <v>6470.52</v>
      </c>
      <c r="G62" s="231">
        <v>4918.54</v>
      </c>
      <c r="H62" s="231">
        <v>4557.28</v>
      </c>
      <c r="I62" s="231">
        <v>6274.46</v>
      </c>
      <c r="J62" s="231">
        <v>4947.9799999999996</v>
      </c>
      <c r="K62" s="231">
        <v>4295.3500000000004</v>
      </c>
      <c r="L62" s="231">
        <v>4029.17</v>
      </c>
      <c r="M62" s="231">
        <v>6323.39</v>
      </c>
      <c r="N62" s="231">
        <v>5864.23</v>
      </c>
      <c r="O62" s="53">
        <f t="shared" si="0"/>
        <v>72338.048899999994</v>
      </c>
    </row>
    <row r="63" spans="1:15">
      <c r="A63" s="231"/>
      <c r="B63" s="288" t="s">
        <v>40</v>
      </c>
      <c r="C63" s="231">
        <v>6560.4049000000005</v>
      </c>
      <c r="D63" s="231">
        <v>4718.1692999999996</v>
      </c>
      <c r="E63" s="231">
        <v>5274.9084999999995</v>
      </c>
      <c r="F63" s="231">
        <v>1956.74</v>
      </c>
      <c r="G63" s="231">
        <v>1406.09</v>
      </c>
      <c r="H63" s="231">
        <v>1592.69</v>
      </c>
      <c r="I63" s="231">
        <v>1246.1400000000001</v>
      </c>
      <c r="J63" s="231">
        <v>1521.39</v>
      </c>
      <c r="K63" s="231">
        <v>1652.46</v>
      </c>
      <c r="L63" s="231">
        <v>1475.8</v>
      </c>
      <c r="M63" s="231">
        <v>1317.97</v>
      </c>
      <c r="N63" s="231">
        <v>3856.36</v>
      </c>
      <c r="O63" s="53">
        <f t="shared" si="0"/>
        <v>32579.1227</v>
      </c>
    </row>
    <row r="64" spans="1:15">
      <c r="A64" s="231"/>
      <c r="B64" s="288" t="s">
        <v>41</v>
      </c>
      <c r="C64" s="231">
        <v>37573.919900000001</v>
      </c>
      <c r="D64" s="231">
        <v>41111.019099999998</v>
      </c>
      <c r="E64" s="231">
        <v>40567.4113</v>
      </c>
      <c r="F64" s="231">
        <v>38970.129999999997</v>
      </c>
      <c r="G64" s="231">
        <v>39608.1</v>
      </c>
      <c r="H64" s="231">
        <v>29378.47</v>
      </c>
      <c r="I64" s="231">
        <v>34748.089999999997</v>
      </c>
      <c r="J64" s="231">
        <v>37037.22</v>
      </c>
      <c r="K64" s="231">
        <v>35343.06</v>
      </c>
      <c r="L64" s="231">
        <v>31181.81</v>
      </c>
      <c r="M64" s="231">
        <v>26986.45</v>
      </c>
      <c r="N64" s="231">
        <v>40640.42</v>
      </c>
      <c r="O64" s="53">
        <f t="shared" si="0"/>
        <v>433146.10029999999</v>
      </c>
    </row>
    <row r="65" spans="1:15">
      <c r="A65" s="8"/>
      <c r="B65" s="9" t="s">
        <v>42</v>
      </c>
      <c r="C65" s="8">
        <v>216602.41899999999</v>
      </c>
      <c r="D65" s="8">
        <v>219085.1434</v>
      </c>
      <c r="E65" s="8">
        <v>188660.96419999999</v>
      </c>
      <c r="F65" s="8">
        <v>157716.87</v>
      </c>
      <c r="G65" s="8">
        <v>136562.94</v>
      </c>
      <c r="H65" s="8">
        <v>126219.16</v>
      </c>
      <c r="I65" s="8">
        <v>126303.7</v>
      </c>
      <c r="J65" s="8">
        <v>129474.97</v>
      </c>
      <c r="K65" s="8">
        <v>134763.04</v>
      </c>
      <c r="L65" s="8">
        <v>132676.51</v>
      </c>
      <c r="M65" s="8">
        <v>155203.31</v>
      </c>
      <c r="N65" s="8">
        <v>217859.19</v>
      </c>
      <c r="O65" s="53">
        <f t="shared" si="0"/>
        <v>1941128.2166000002</v>
      </c>
    </row>
    <row r="66" spans="1:15">
      <c r="A66" s="231"/>
      <c r="B66" s="288"/>
      <c r="C66" s="231"/>
      <c r="D66" s="231"/>
      <c r="E66" s="231"/>
      <c r="F66" s="231"/>
      <c r="G66" s="231"/>
      <c r="H66" s="231"/>
      <c r="I66" s="231"/>
      <c r="J66" s="231"/>
      <c r="K66" s="231"/>
      <c r="L66" s="231"/>
      <c r="M66" s="231"/>
      <c r="N66" s="231"/>
      <c r="O66" s="53"/>
    </row>
    <row r="67" spans="1:15">
      <c r="A67" s="288" t="s">
        <v>46</v>
      </c>
      <c r="B67" s="288" t="s">
        <v>26</v>
      </c>
      <c r="C67" s="231">
        <v>132</v>
      </c>
      <c r="D67" s="231">
        <v>119.1</v>
      </c>
      <c r="E67" s="231">
        <v>109.4</v>
      </c>
      <c r="F67" s="231">
        <v>54.3</v>
      </c>
      <c r="G67" s="231">
        <v>22.3</v>
      </c>
      <c r="H67" s="231">
        <v>9.8000000000000007</v>
      </c>
      <c r="I67" s="231">
        <v>5.2</v>
      </c>
      <c r="J67" s="231">
        <v>5.9</v>
      </c>
      <c r="K67" s="231">
        <v>4.7</v>
      </c>
      <c r="L67" s="231">
        <v>18.2</v>
      </c>
      <c r="M67" s="231">
        <v>34.799999999999997</v>
      </c>
      <c r="N67" s="231">
        <v>58.5</v>
      </c>
      <c r="O67" s="53">
        <f t="shared" si="0"/>
        <v>574.19999999999993</v>
      </c>
    </row>
    <row r="68" spans="1:15">
      <c r="A68" s="231"/>
      <c r="B68" s="288" t="s">
        <v>27</v>
      </c>
      <c r="C68" s="288" t="s">
        <v>45</v>
      </c>
      <c r="D68" s="288" t="s">
        <v>45</v>
      </c>
      <c r="E68" s="288" t="s">
        <v>45</v>
      </c>
      <c r="F68" s="288" t="s">
        <v>45</v>
      </c>
      <c r="G68" s="288" t="s">
        <v>45</v>
      </c>
      <c r="H68" s="288" t="s">
        <v>45</v>
      </c>
      <c r="I68" s="288" t="s">
        <v>45</v>
      </c>
      <c r="J68" s="288" t="s">
        <v>45</v>
      </c>
      <c r="K68" s="288" t="s">
        <v>45</v>
      </c>
      <c r="L68" s="288" t="s">
        <v>45</v>
      </c>
      <c r="M68" s="288" t="s">
        <v>45</v>
      </c>
      <c r="N68" s="288" t="s">
        <v>45</v>
      </c>
      <c r="O68" s="53">
        <f t="shared" si="0"/>
        <v>0</v>
      </c>
    </row>
    <row r="69" spans="1:15">
      <c r="A69" s="231"/>
      <c r="B69" s="294" t="s">
        <v>28</v>
      </c>
      <c r="C69" s="293">
        <v>7883.4080999999996</v>
      </c>
      <c r="D69" s="293">
        <v>6642.3888999999999</v>
      </c>
      <c r="E69" s="293">
        <v>5304.1602000000003</v>
      </c>
      <c r="F69" s="293">
        <v>3616.68</v>
      </c>
      <c r="G69" s="293">
        <v>2730.9</v>
      </c>
      <c r="H69" s="293">
        <v>1608.45</v>
      </c>
      <c r="I69" s="293">
        <v>1548.7</v>
      </c>
      <c r="J69" s="293">
        <v>1623.04</v>
      </c>
      <c r="K69" s="293">
        <v>1705.34</v>
      </c>
      <c r="L69" s="293">
        <v>2186.0500000000002</v>
      </c>
      <c r="M69" s="293">
        <v>3823.19</v>
      </c>
      <c r="N69" s="293">
        <v>8326.2000000000007</v>
      </c>
      <c r="O69" s="54">
        <f t="shared" si="0"/>
        <v>46998.507200000007</v>
      </c>
    </row>
    <row r="70" spans="1:15">
      <c r="A70" s="231"/>
      <c r="B70" s="288" t="s">
        <v>29</v>
      </c>
      <c r="C70" s="231">
        <v>799.1</v>
      </c>
      <c r="D70" s="231">
        <v>629</v>
      </c>
      <c r="E70" s="231">
        <v>636.20000000000005</v>
      </c>
      <c r="F70" s="231">
        <v>314.60000000000002</v>
      </c>
      <c r="G70" s="231">
        <v>185</v>
      </c>
      <c r="H70" s="231">
        <v>124.8</v>
      </c>
      <c r="I70" s="231">
        <v>119.4</v>
      </c>
      <c r="J70" s="231">
        <v>111.6</v>
      </c>
      <c r="K70" s="231">
        <v>109.6</v>
      </c>
      <c r="L70" s="231">
        <v>168.9</v>
      </c>
      <c r="M70" s="231">
        <v>289.3</v>
      </c>
      <c r="N70" s="231">
        <v>559.20000000000005</v>
      </c>
      <c r="O70" s="53">
        <f t="shared" si="0"/>
        <v>4046.7000000000007</v>
      </c>
    </row>
    <row r="71" spans="1:15">
      <c r="A71" s="231"/>
      <c r="B71" s="288" t="s">
        <v>30</v>
      </c>
      <c r="C71" s="288" t="s">
        <v>45</v>
      </c>
      <c r="D71" s="288" t="s">
        <v>45</v>
      </c>
      <c r="E71" s="288" t="s">
        <v>45</v>
      </c>
      <c r="F71" s="288" t="s">
        <v>45</v>
      </c>
      <c r="G71" s="288" t="s">
        <v>45</v>
      </c>
      <c r="H71" s="288" t="s">
        <v>45</v>
      </c>
      <c r="I71" s="288" t="s">
        <v>45</v>
      </c>
      <c r="J71" s="288" t="s">
        <v>45</v>
      </c>
      <c r="K71" s="288" t="s">
        <v>45</v>
      </c>
      <c r="L71" s="288" t="s">
        <v>45</v>
      </c>
      <c r="M71" s="288" t="s">
        <v>45</v>
      </c>
      <c r="N71" s="288" t="s">
        <v>45</v>
      </c>
      <c r="O71" s="53">
        <f t="shared" si="0"/>
        <v>0</v>
      </c>
    </row>
    <row r="72" spans="1:15">
      <c r="A72" s="231"/>
      <c r="B72" s="288" t="s">
        <v>31</v>
      </c>
      <c r="C72" s="231">
        <v>1434.8588999999999</v>
      </c>
      <c r="D72" s="231">
        <v>1155.7471</v>
      </c>
      <c r="E72" s="231">
        <v>1158.4482</v>
      </c>
      <c r="F72" s="231">
        <v>627.61</v>
      </c>
      <c r="G72" s="231">
        <v>401.55</v>
      </c>
      <c r="H72" s="231">
        <v>265.63</v>
      </c>
      <c r="I72" s="231">
        <v>207.52</v>
      </c>
      <c r="J72" s="231">
        <v>180.29</v>
      </c>
      <c r="K72" s="231">
        <v>240.45</v>
      </c>
      <c r="L72" s="231">
        <v>368.88</v>
      </c>
      <c r="M72" s="231">
        <v>541.55999999999995</v>
      </c>
      <c r="N72" s="231">
        <v>1010.26</v>
      </c>
      <c r="O72" s="53">
        <f t="shared" si="0"/>
        <v>7592.8042000000005</v>
      </c>
    </row>
    <row r="73" spans="1:15">
      <c r="A73" s="231"/>
      <c r="B73" s="288" t="s">
        <v>32</v>
      </c>
      <c r="C73" s="288" t="s">
        <v>45</v>
      </c>
      <c r="D73" s="288" t="s">
        <v>45</v>
      </c>
      <c r="E73" s="288" t="s">
        <v>45</v>
      </c>
      <c r="F73" s="288" t="s">
        <v>45</v>
      </c>
      <c r="G73" s="288" t="s">
        <v>45</v>
      </c>
      <c r="H73" s="288" t="s">
        <v>45</v>
      </c>
      <c r="I73" s="288" t="s">
        <v>45</v>
      </c>
      <c r="J73" s="288" t="s">
        <v>45</v>
      </c>
      <c r="K73" s="288" t="s">
        <v>45</v>
      </c>
      <c r="L73" s="288" t="s">
        <v>45</v>
      </c>
      <c r="M73" s="288" t="s">
        <v>45</v>
      </c>
      <c r="N73" s="288" t="s">
        <v>45</v>
      </c>
      <c r="O73" s="53">
        <f t="shared" si="0"/>
        <v>0</v>
      </c>
    </row>
    <row r="74" spans="1:15">
      <c r="A74" s="231"/>
      <c r="B74" s="288" t="s">
        <v>33</v>
      </c>
      <c r="C74" s="288" t="s">
        <v>45</v>
      </c>
      <c r="D74" s="288" t="s">
        <v>45</v>
      </c>
      <c r="E74" s="288" t="s">
        <v>45</v>
      </c>
      <c r="F74" s="288" t="s">
        <v>45</v>
      </c>
      <c r="G74" s="288" t="s">
        <v>45</v>
      </c>
      <c r="H74" s="288" t="s">
        <v>45</v>
      </c>
      <c r="I74" s="288" t="s">
        <v>45</v>
      </c>
      <c r="J74" s="288" t="s">
        <v>45</v>
      </c>
      <c r="K74" s="288" t="s">
        <v>45</v>
      </c>
      <c r="L74" s="288" t="s">
        <v>45</v>
      </c>
      <c r="M74" s="288" t="s">
        <v>45</v>
      </c>
      <c r="N74" s="288" t="s">
        <v>45</v>
      </c>
      <c r="O74" s="53">
        <f t="shared" si="0"/>
        <v>0</v>
      </c>
    </row>
    <row r="75" spans="1:15">
      <c r="A75" s="231"/>
      <c r="B75" s="288" t="s">
        <v>34</v>
      </c>
      <c r="C75" s="288" t="s">
        <v>45</v>
      </c>
      <c r="D75" s="288" t="s">
        <v>45</v>
      </c>
      <c r="E75" s="288" t="s">
        <v>45</v>
      </c>
      <c r="F75" s="288" t="s">
        <v>45</v>
      </c>
      <c r="G75" s="288" t="s">
        <v>45</v>
      </c>
      <c r="H75" s="288" t="s">
        <v>45</v>
      </c>
      <c r="I75" s="288" t="s">
        <v>45</v>
      </c>
      <c r="J75" s="288" t="s">
        <v>45</v>
      </c>
      <c r="K75" s="288" t="s">
        <v>45</v>
      </c>
      <c r="L75" s="288" t="s">
        <v>45</v>
      </c>
      <c r="M75" s="288" t="s">
        <v>45</v>
      </c>
      <c r="N75" s="288" t="s">
        <v>45</v>
      </c>
      <c r="O75" s="53">
        <f t="shared" si="0"/>
        <v>0</v>
      </c>
    </row>
    <row r="76" spans="1:15">
      <c r="A76" s="231"/>
      <c r="B76" s="288" t="s">
        <v>35</v>
      </c>
      <c r="C76" s="288" t="s">
        <v>45</v>
      </c>
      <c r="D76" s="288" t="s">
        <v>45</v>
      </c>
      <c r="E76" s="288" t="s">
        <v>45</v>
      </c>
      <c r="F76" s="288" t="s">
        <v>45</v>
      </c>
      <c r="G76" s="288" t="s">
        <v>45</v>
      </c>
      <c r="H76" s="288" t="s">
        <v>45</v>
      </c>
      <c r="I76" s="288" t="s">
        <v>45</v>
      </c>
      <c r="J76" s="288" t="s">
        <v>45</v>
      </c>
      <c r="K76" s="288" t="s">
        <v>45</v>
      </c>
      <c r="L76" s="288" t="s">
        <v>45</v>
      </c>
      <c r="M76" s="288" t="s">
        <v>45</v>
      </c>
      <c r="N76" s="288" t="s">
        <v>45</v>
      </c>
      <c r="O76" s="53">
        <f t="shared" si="0"/>
        <v>0</v>
      </c>
    </row>
    <row r="77" spans="1:15">
      <c r="A77" s="231"/>
      <c r="B77" s="288" t="s">
        <v>36</v>
      </c>
      <c r="C77" s="231">
        <v>2624.7</v>
      </c>
      <c r="D77" s="231">
        <v>2013</v>
      </c>
      <c r="E77" s="231">
        <v>2361.4</v>
      </c>
      <c r="F77" s="231">
        <v>1198.8</v>
      </c>
      <c r="G77" s="231">
        <v>722.2</v>
      </c>
      <c r="H77" s="231">
        <v>420.4</v>
      </c>
      <c r="I77" s="231">
        <v>324.3</v>
      </c>
      <c r="J77" s="231">
        <v>318.2</v>
      </c>
      <c r="K77" s="231">
        <v>312.8</v>
      </c>
      <c r="L77" s="231">
        <v>405.2</v>
      </c>
      <c r="M77" s="231">
        <v>750</v>
      </c>
      <c r="N77" s="231">
        <v>1801.3</v>
      </c>
      <c r="O77" s="53">
        <f t="shared" si="0"/>
        <v>13252.3</v>
      </c>
    </row>
    <row r="78" spans="1:15">
      <c r="A78" s="231"/>
      <c r="B78" s="288" t="s">
        <v>37</v>
      </c>
      <c r="C78" s="288" t="s">
        <v>45</v>
      </c>
      <c r="D78" s="288" t="s">
        <v>45</v>
      </c>
      <c r="E78" s="288" t="s">
        <v>45</v>
      </c>
      <c r="F78" s="288" t="s">
        <v>45</v>
      </c>
      <c r="G78" s="288" t="s">
        <v>45</v>
      </c>
      <c r="H78" s="288" t="s">
        <v>45</v>
      </c>
      <c r="I78" s="288" t="s">
        <v>45</v>
      </c>
      <c r="J78" s="288" t="s">
        <v>45</v>
      </c>
      <c r="K78" s="288" t="s">
        <v>45</v>
      </c>
      <c r="L78" s="288" t="s">
        <v>45</v>
      </c>
      <c r="M78" s="288" t="s">
        <v>45</v>
      </c>
      <c r="N78" s="288" t="s">
        <v>45</v>
      </c>
      <c r="O78" s="53">
        <f t="shared" ref="O78:O137" si="1">SUM(C78:N78)</f>
        <v>0</v>
      </c>
    </row>
    <row r="79" spans="1:15">
      <c r="A79" s="231"/>
      <c r="B79" s="288" t="s">
        <v>38</v>
      </c>
      <c r="C79" s="231">
        <v>479.90679999999998</v>
      </c>
      <c r="D79" s="231">
        <v>605.08360000000005</v>
      </c>
      <c r="E79" s="231">
        <v>201.15369999999999</v>
      </c>
      <c r="F79" s="231">
        <v>248.01</v>
      </c>
      <c r="G79" s="231">
        <v>158.75</v>
      </c>
      <c r="H79" s="231">
        <v>58.38</v>
      </c>
      <c r="I79" s="231">
        <v>17.73</v>
      </c>
      <c r="J79" s="231">
        <v>16.47</v>
      </c>
      <c r="K79" s="231">
        <v>33.75</v>
      </c>
      <c r="L79" s="231">
        <v>106.04</v>
      </c>
      <c r="M79" s="231">
        <v>235.46</v>
      </c>
      <c r="N79" s="231">
        <v>347.9</v>
      </c>
      <c r="O79" s="53">
        <f t="shared" si="1"/>
        <v>2508.6341000000002</v>
      </c>
    </row>
    <row r="80" spans="1:15">
      <c r="A80" s="231"/>
      <c r="B80" s="288" t="s">
        <v>39</v>
      </c>
      <c r="C80" s="231">
        <v>536.13589999999999</v>
      </c>
      <c r="D80" s="231">
        <v>473.6223</v>
      </c>
      <c r="E80" s="231">
        <v>398.91239999999999</v>
      </c>
      <c r="F80" s="231">
        <v>242.25</v>
      </c>
      <c r="G80" s="231">
        <v>153.44999999999999</v>
      </c>
      <c r="H80" s="231">
        <v>59.15</v>
      </c>
      <c r="I80" s="231">
        <v>33</v>
      </c>
      <c r="J80" s="231">
        <v>62.3</v>
      </c>
      <c r="K80" s="231">
        <v>90.02</v>
      </c>
      <c r="L80" s="231">
        <v>272.45999999999998</v>
      </c>
      <c r="M80" s="231">
        <v>318.08</v>
      </c>
      <c r="N80" s="231">
        <v>340.11</v>
      </c>
      <c r="O80" s="53">
        <f t="shared" si="1"/>
        <v>2979.4906000000001</v>
      </c>
    </row>
    <row r="81" spans="1:15">
      <c r="A81" s="231"/>
      <c r="B81" s="288" t="s">
        <v>40</v>
      </c>
      <c r="C81" s="231">
        <v>144.5</v>
      </c>
      <c r="D81" s="231">
        <v>158.69999999999999</v>
      </c>
      <c r="E81" s="231">
        <v>159.1</v>
      </c>
      <c r="F81" s="231">
        <v>50.5</v>
      </c>
      <c r="G81" s="231">
        <v>19</v>
      </c>
      <c r="H81" s="231">
        <v>7.4</v>
      </c>
      <c r="I81" s="231">
        <v>5.0999999999999996</v>
      </c>
      <c r="J81" s="231">
        <v>5.6</v>
      </c>
      <c r="K81" s="231">
        <v>8.6</v>
      </c>
      <c r="L81" s="231">
        <v>11.9</v>
      </c>
      <c r="M81" s="231">
        <v>41</v>
      </c>
      <c r="N81" s="231">
        <v>98.7</v>
      </c>
      <c r="O81" s="53">
        <f t="shared" si="1"/>
        <v>710.1</v>
      </c>
    </row>
    <row r="82" spans="1:15">
      <c r="A82" s="231"/>
      <c r="B82" s="288" t="s">
        <v>41</v>
      </c>
      <c r="C82" s="231">
        <v>2593.2033000000001</v>
      </c>
      <c r="D82" s="231">
        <v>1720.3875</v>
      </c>
      <c r="E82" s="231">
        <v>1166.5001999999999</v>
      </c>
      <c r="F82" s="231">
        <v>690.7</v>
      </c>
      <c r="G82" s="231">
        <v>398</v>
      </c>
      <c r="H82" s="231">
        <v>216.14</v>
      </c>
      <c r="I82" s="231">
        <v>173.78</v>
      </c>
      <c r="J82" s="231">
        <v>173.36</v>
      </c>
      <c r="K82" s="231">
        <v>171.73</v>
      </c>
      <c r="L82" s="231">
        <v>339.89</v>
      </c>
      <c r="M82" s="231">
        <v>683.48</v>
      </c>
      <c r="N82" s="231">
        <v>1620.17</v>
      </c>
      <c r="O82" s="53">
        <f t="shared" si="1"/>
        <v>9947.3410000000003</v>
      </c>
    </row>
    <row r="83" spans="1:15">
      <c r="A83" s="8"/>
      <c r="B83" s="9" t="s">
        <v>42</v>
      </c>
      <c r="C83" s="8">
        <v>16627.812999999998</v>
      </c>
      <c r="D83" s="8">
        <v>13517.029399999999</v>
      </c>
      <c r="E83" s="8">
        <v>11495.2747</v>
      </c>
      <c r="F83" s="8">
        <v>7043.45</v>
      </c>
      <c r="G83" s="8">
        <v>4791.1499999999996</v>
      </c>
      <c r="H83" s="8">
        <v>2770.15</v>
      </c>
      <c r="I83" s="8">
        <v>2434.73</v>
      </c>
      <c r="J83" s="8">
        <v>2496.7600000000002</v>
      </c>
      <c r="K83" s="8">
        <v>2676.99</v>
      </c>
      <c r="L83" s="8">
        <v>3877.52</v>
      </c>
      <c r="M83" s="8">
        <v>6716.87</v>
      </c>
      <c r="N83" s="8">
        <v>14162.34</v>
      </c>
      <c r="O83" s="53">
        <f t="shared" si="1"/>
        <v>88610.077099999995</v>
      </c>
    </row>
    <row r="84" spans="1:15">
      <c r="A84" s="231"/>
      <c r="B84" s="288"/>
      <c r="C84" s="231"/>
      <c r="D84" s="231"/>
      <c r="E84" s="231"/>
      <c r="F84" s="231"/>
      <c r="G84" s="231"/>
      <c r="H84" s="231"/>
      <c r="I84" s="231"/>
      <c r="J84" s="231"/>
      <c r="K84" s="231"/>
      <c r="L84" s="231"/>
      <c r="M84" s="231"/>
      <c r="N84" s="231"/>
      <c r="O84" s="53"/>
    </row>
    <row r="85" spans="1:15">
      <c r="A85" s="288" t="s">
        <v>47</v>
      </c>
      <c r="B85" s="288" t="s">
        <v>26</v>
      </c>
      <c r="C85" s="231">
        <v>2915</v>
      </c>
      <c r="D85" s="231">
        <v>4503</v>
      </c>
      <c r="E85" s="231">
        <v>3948</v>
      </c>
      <c r="F85" s="231">
        <v>2158</v>
      </c>
      <c r="G85" s="231">
        <v>5953</v>
      </c>
      <c r="H85" s="231">
        <v>3759</v>
      </c>
      <c r="I85" s="231">
        <v>3636</v>
      </c>
      <c r="J85" s="231">
        <v>3840</v>
      </c>
      <c r="K85" s="231">
        <v>6036</v>
      </c>
      <c r="L85" s="231">
        <v>6568</v>
      </c>
      <c r="M85" s="231">
        <v>7421</v>
      </c>
      <c r="N85" s="231">
        <v>9568</v>
      </c>
      <c r="O85" s="53">
        <f t="shared" si="1"/>
        <v>60305</v>
      </c>
    </row>
    <row r="86" spans="1:15">
      <c r="A86" s="231"/>
      <c r="B86" s="288" t="s">
        <v>27</v>
      </c>
      <c r="C86" s="231">
        <v>4667</v>
      </c>
      <c r="D86" s="231">
        <v>8037</v>
      </c>
      <c r="E86" s="231">
        <v>7439</v>
      </c>
      <c r="F86" s="231">
        <v>5058</v>
      </c>
      <c r="G86" s="231">
        <v>3547</v>
      </c>
      <c r="H86" s="231">
        <v>4293</v>
      </c>
      <c r="I86" s="231">
        <v>2270</v>
      </c>
      <c r="J86" s="231">
        <v>2030</v>
      </c>
      <c r="K86" s="231">
        <v>2185</v>
      </c>
      <c r="L86" s="231">
        <v>2181</v>
      </c>
      <c r="M86" s="231">
        <v>5010</v>
      </c>
      <c r="N86" s="231">
        <v>5970</v>
      </c>
      <c r="O86" s="53">
        <f t="shared" si="1"/>
        <v>52687</v>
      </c>
    </row>
    <row r="87" spans="1:15">
      <c r="A87" s="231"/>
      <c r="B87" s="294" t="s">
        <v>28</v>
      </c>
      <c r="C87" s="293">
        <v>16388</v>
      </c>
      <c r="D87" s="293">
        <v>17949</v>
      </c>
      <c r="E87" s="293">
        <v>19235</v>
      </c>
      <c r="F87" s="293">
        <v>19108</v>
      </c>
      <c r="G87" s="293">
        <v>16658</v>
      </c>
      <c r="H87" s="293">
        <v>16347</v>
      </c>
      <c r="I87" s="293">
        <v>17066</v>
      </c>
      <c r="J87" s="293">
        <v>16787</v>
      </c>
      <c r="K87" s="293">
        <v>19147</v>
      </c>
      <c r="L87" s="293">
        <v>15061</v>
      </c>
      <c r="M87" s="293">
        <v>52034</v>
      </c>
      <c r="N87" s="293">
        <v>27004</v>
      </c>
      <c r="O87" s="54">
        <f t="shared" si="1"/>
        <v>252784</v>
      </c>
    </row>
    <row r="88" spans="1:15">
      <c r="A88" s="231"/>
      <c r="B88" s="288" t="s">
        <v>29</v>
      </c>
      <c r="C88" s="231">
        <v>40832</v>
      </c>
      <c r="D88" s="231">
        <v>43288</v>
      </c>
      <c r="E88" s="231">
        <v>39941</v>
      </c>
      <c r="F88" s="231">
        <v>29029</v>
      </c>
      <c r="G88" s="231">
        <v>44105</v>
      </c>
      <c r="H88" s="231">
        <v>33942</v>
      </c>
      <c r="I88" s="231">
        <v>36807</v>
      </c>
      <c r="J88" s="231">
        <v>34423</v>
      </c>
      <c r="K88" s="231">
        <v>36661</v>
      </c>
      <c r="L88" s="231">
        <v>37340</v>
      </c>
      <c r="M88" s="231">
        <v>27962</v>
      </c>
      <c r="N88" s="231">
        <v>36264</v>
      </c>
      <c r="O88" s="53">
        <f t="shared" si="1"/>
        <v>440594</v>
      </c>
    </row>
    <row r="89" spans="1:15">
      <c r="A89" s="231"/>
      <c r="B89" s="288" t="s">
        <v>30</v>
      </c>
      <c r="C89" s="288" t="s">
        <v>45</v>
      </c>
      <c r="D89" s="288" t="s">
        <v>45</v>
      </c>
      <c r="E89" s="288" t="s">
        <v>45</v>
      </c>
      <c r="F89" s="288" t="s">
        <v>45</v>
      </c>
      <c r="G89" s="288" t="s">
        <v>45</v>
      </c>
      <c r="H89" s="288" t="s">
        <v>45</v>
      </c>
      <c r="I89" s="288" t="s">
        <v>45</v>
      </c>
      <c r="J89" s="288" t="s">
        <v>45</v>
      </c>
      <c r="K89" s="288" t="s">
        <v>45</v>
      </c>
      <c r="L89" s="288" t="s">
        <v>45</v>
      </c>
      <c r="M89" s="288" t="s">
        <v>45</v>
      </c>
      <c r="N89" s="288" t="s">
        <v>45</v>
      </c>
      <c r="O89" s="53">
        <f t="shared" si="1"/>
        <v>0</v>
      </c>
    </row>
    <row r="90" spans="1:15">
      <c r="A90" s="231"/>
      <c r="B90" s="288" t="s">
        <v>31</v>
      </c>
      <c r="C90" s="288" t="s">
        <v>45</v>
      </c>
      <c r="D90" s="288" t="s">
        <v>45</v>
      </c>
      <c r="E90" s="288" t="s">
        <v>45</v>
      </c>
      <c r="F90" s="288" t="s">
        <v>45</v>
      </c>
      <c r="G90" s="288" t="s">
        <v>45</v>
      </c>
      <c r="H90" s="288" t="s">
        <v>45</v>
      </c>
      <c r="I90" s="288" t="s">
        <v>45</v>
      </c>
      <c r="J90" s="288" t="s">
        <v>45</v>
      </c>
      <c r="K90" s="288" t="s">
        <v>45</v>
      </c>
      <c r="L90" s="288" t="s">
        <v>45</v>
      </c>
      <c r="M90" s="288" t="s">
        <v>45</v>
      </c>
      <c r="N90" s="288" t="s">
        <v>45</v>
      </c>
      <c r="O90" s="53">
        <f t="shared" si="1"/>
        <v>0</v>
      </c>
    </row>
    <row r="91" spans="1:15">
      <c r="A91" s="231"/>
      <c r="B91" s="288" t="s">
        <v>32</v>
      </c>
      <c r="C91" s="231">
        <v>32806</v>
      </c>
      <c r="D91" s="231">
        <v>28026</v>
      </c>
      <c r="E91" s="231">
        <v>29698</v>
      </c>
      <c r="F91" s="231">
        <v>20486</v>
      </c>
      <c r="G91" s="231">
        <v>12236</v>
      </c>
      <c r="H91" s="231">
        <v>9641</v>
      </c>
      <c r="I91" s="231">
        <v>4219</v>
      </c>
      <c r="J91" s="231">
        <v>6728</v>
      </c>
      <c r="K91" s="231">
        <v>6943</v>
      </c>
      <c r="L91" s="231">
        <v>8258</v>
      </c>
      <c r="M91" s="231">
        <v>15448</v>
      </c>
      <c r="N91" s="231">
        <v>24007</v>
      </c>
      <c r="O91" s="53">
        <f t="shared" si="1"/>
        <v>198496</v>
      </c>
    </row>
    <row r="92" spans="1:15">
      <c r="A92" s="231"/>
      <c r="B92" s="288" t="s">
        <v>33</v>
      </c>
      <c r="C92" s="288" t="s">
        <v>45</v>
      </c>
      <c r="D92" s="288" t="s">
        <v>45</v>
      </c>
      <c r="E92" s="288" t="s">
        <v>45</v>
      </c>
      <c r="F92" s="288" t="s">
        <v>45</v>
      </c>
      <c r="G92" s="288" t="s">
        <v>45</v>
      </c>
      <c r="H92" s="288" t="s">
        <v>45</v>
      </c>
      <c r="I92" s="288" t="s">
        <v>45</v>
      </c>
      <c r="J92" s="288" t="s">
        <v>45</v>
      </c>
      <c r="K92" s="288" t="s">
        <v>45</v>
      </c>
      <c r="L92" s="288" t="s">
        <v>45</v>
      </c>
      <c r="M92" s="288" t="s">
        <v>45</v>
      </c>
      <c r="N92" s="288" t="s">
        <v>45</v>
      </c>
      <c r="O92" s="53">
        <f t="shared" si="1"/>
        <v>0</v>
      </c>
    </row>
    <row r="93" spans="1:15">
      <c r="A93" s="231"/>
      <c r="B93" s="288" t="s">
        <v>34</v>
      </c>
      <c r="C93" s="288" t="s">
        <v>45</v>
      </c>
      <c r="D93" s="288" t="s">
        <v>45</v>
      </c>
      <c r="E93" s="288" t="s">
        <v>45</v>
      </c>
      <c r="F93" s="288" t="s">
        <v>45</v>
      </c>
      <c r="G93" s="288" t="s">
        <v>45</v>
      </c>
      <c r="H93" s="288" t="s">
        <v>45</v>
      </c>
      <c r="I93" s="288" t="s">
        <v>45</v>
      </c>
      <c r="J93" s="288" t="s">
        <v>45</v>
      </c>
      <c r="K93" s="288" t="s">
        <v>45</v>
      </c>
      <c r="L93" s="288" t="s">
        <v>45</v>
      </c>
      <c r="M93" s="288" t="s">
        <v>45</v>
      </c>
      <c r="N93" s="288" t="s">
        <v>45</v>
      </c>
      <c r="O93" s="53">
        <f t="shared" si="1"/>
        <v>0</v>
      </c>
    </row>
    <row r="94" spans="1:15">
      <c r="A94" s="231"/>
      <c r="B94" s="288" t="s">
        <v>35</v>
      </c>
      <c r="C94" s="288" t="s">
        <v>45</v>
      </c>
      <c r="D94" s="288" t="s">
        <v>45</v>
      </c>
      <c r="E94" s="288" t="s">
        <v>45</v>
      </c>
      <c r="F94" s="288" t="s">
        <v>45</v>
      </c>
      <c r="G94" s="288" t="s">
        <v>45</v>
      </c>
      <c r="H94" s="288" t="s">
        <v>45</v>
      </c>
      <c r="I94" s="288" t="s">
        <v>45</v>
      </c>
      <c r="J94" s="288" t="s">
        <v>45</v>
      </c>
      <c r="K94" s="288" t="s">
        <v>45</v>
      </c>
      <c r="L94" s="288" t="s">
        <v>45</v>
      </c>
      <c r="M94" s="288" t="s">
        <v>45</v>
      </c>
      <c r="N94" s="288" t="s">
        <v>45</v>
      </c>
      <c r="O94" s="53">
        <f t="shared" si="1"/>
        <v>0</v>
      </c>
    </row>
    <row r="95" spans="1:15">
      <c r="A95" s="231"/>
      <c r="B95" s="288" t="s">
        <v>36</v>
      </c>
      <c r="C95" s="231">
        <v>10352</v>
      </c>
      <c r="D95" s="231">
        <v>9549</v>
      </c>
      <c r="E95" s="231">
        <v>8639</v>
      </c>
      <c r="F95" s="231">
        <v>3358</v>
      </c>
      <c r="G95" s="231">
        <v>6553</v>
      </c>
      <c r="H95" s="231">
        <v>2506</v>
      </c>
      <c r="I95" s="231">
        <v>2152</v>
      </c>
      <c r="J95" s="231">
        <v>3161</v>
      </c>
      <c r="K95" s="231">
        <v>3417</v>
      </c>
      <c r="L95" s="231">
        <v>3766</v>
      </c>
      <c r="M95" s="231">
        <v>5198</v>
      </c>
      <c r="N95" s="231">
        <v>8768</v>
      </c>
      <c r="O95" s="53">
        <f t="shared" si="1"/>
        <v>67419</v>
      </c>
    </row>
    <row r="96" spans="1:15">
      <c r="A96" s="231"/>
      <c r="B96" s="288" t="s">
        <v>37</v>
      </c>
      <c r="C96" s="288" t="s">
        <v>45</v>
      </c>
      <c r="D96" s="288" t="s">
        <v>45</v>
      </c>
      <c r="E96" s="288" t="s">
        <v>45</v>
      </c>
      <c r="F96" s="288" t="s">
        <v>45</v>
      </c>
      <c r="G96" s="288" t="s">
        <v>45</v>
      </c>
      <c r="H96" s="288" t="s">
        <v>45</v>
      </c>
      <c r="I96" s="288" t="s">
        <v>45</v>
      </c>
      <c r="J96" s="288" t="s">
        <v>45</v>
      </c>
      <c r="K96" s="288" t="s">
        <v>45</v>
      </c>
      <c r="L96" s="288" t="s">
        <v>45</v>
      </c>
      <c r="M96" s="288" t="s">
        <v>45</v>
      </c>
      <c r="N96" s="288" t="s">
        <v>45</v>
      </c>
      <c r="O96" s="53">
        <f t="shared" si="1"/>
        <v>0</v>
      </c>
    </row>
    <row r="97" spans="1:15">
      <c r="A97" s="231"/>
      <c r="B97" s="288" t="s">
        <v>38</v>
      </c>
      <c r="C97" s="231">
        <v>46686</v>
      </c>
      <c r="D97" s="231">
        <v>48895</v>
      </c>
      <c r="E97" s="231">
        <v>55332</v>
      </c>
      <c r="F97" s="231">
        <v>48318.78</v>
      </c>
      <c r="G97" s="231">
        <v>43747</v>
      </c>
      <c r="H97" s="231">
        <v>43700</v>
      </c>
      <c r="I97" s="231">
        <v>36685</v>
      </c>
      <c r="J97" s="231">
        <v>28376</v>
      </c>
      <c r="K97" s="231">
        <v>32496</v>
      </c>
      <c r="L97" s="231">
        <v>30295</v>
      </c>
      <c r="M97" s="231">
        <v>37533</v>
      </c>
      <c r="N97" s="231">
        <v>40143</v>
      </c>
      <c r="O97" s="53">
        <f t="shared" si="1"/>
        <v>492206.78</v>
      </c>
    </row>
    <row r="98" spans="1:15">
      <c r="A98" s="231"/>
      <c r="B98" s="288" t="s">
        <v>39</v>
      </c>
      <c r="C98" s="231">
        <v>35460</v>
      </c>
      <c r="D98" s="231">
        <v>34481</v>
      </c>
      <c r="E98" s="231">
        <v>31827</v>
      </c>
      <c r="F98" s="231">
        <v>24168</v>
      </c>
      <c r="G98" s="231">
        <v>15416</v>
      </c>
      <c r="H98" s="231">
        <v>13310</v>
      </c>
      <c r="I98" s="231">
        <v>10290</v>
      </c>
      <c r="J98" s="231">
        <v>12052</v>
      </c>
      <c r="K98" s="231">
        <v>10132</v>
      </c>
      <c r="L98" s="231">
        <v>6542</v>
      </c>
      <c r="M98" s="231">
        <v>22582</v>
      </c>
      <c r="N98" s="231">
        <v>23652</v>
      </c>
      <c r="O98" s="53">
        <f t="shared" si="1"/>
        <v>239912</v>
      </c>
    </row>
    <row r="99" spans="1:15">
      <c r="A99" s="231"/>
      <c r="B99" s="288" t="s">
        <v>40</v>
      </c>
      <c r="C99" s="288" t="s">
        <v>45</v>
      </c>
      <c r="D99" s="288" t="s">
        <v>45</v>
      </c>
      <c r="E99" s="288" t="s">
        <v>45</v>
      </c>
      <c r="F99" s="288" t="s">
        <v>45</v>
      </c>
      <c r="G99" s="288" t="s">
        <v>45</v>
      </c>
      <c r="H99" s="288" t="s">
        <v>45</v>
      </c>
      <c r="I99" s="288" t="s">
        <v>45</v>
      </c>
      <c r="J99" s="288" t="s">
        <v>45</v>
      </c>
      <c r="K99" s="288" t="s">
        <v>45</v>
      </c>
      <c r="L99" s="288" t="s">
        <v>45</v>
      </c>
      <c r="M99" s="288" t="s">
        <v>45</v>
      </c>
      <c r="N99" s="288" t="s">
        <v>45</v>
      </c>
      <c r="O99" s="53">
        <f t="shared" si="1"/>
        <v>0</v>
      </c>
    </row>
    <row r="100" spans="1:15">
      <c r="A100" s="231"/>
      <c r="B100" s="288" t="s">
        <v>41</v>
      </c>
      <c r="C100" s="288" t="s">
        <v>45</v>
      </c>
      <c r="D100" s="288" t="s">
        <v>45</v>
      </c>
      <c r="E100" s="288" t="s">
        <v>45</v>
      </c>
      <c r="F100" s="288" t="s">
        <v>45</v>
      </c>
      <c r="G100" s="231">
        <v>2109</v>
      </c>
      <c r="H100" s="231">
        <v>1806</v>
      </c>
      <c r="I100" s="231">
        <v>1664</v>
      </c>
      <c r="J100" s="231">
        <v>1634</v>
      </c>
      <c r="K100" s="231">
        <v>1631</v>
      </c>
      <c r="L100" s="231">
        <v>1846</v>
      </c>
      <c r="M100" s="231">
        <v>2068</v>
      </c>
      <c r="N100" s="231">
        <v>2392</v>
      </c>
      <c r="O100" s="53">
        <f t="shared" si="1"/>
        <v>15150</v>
      </c>
    </row>
    <row r="101" spans="1:15">
      <c r="A101" s="8"/>
      <c r="B101" s="9" t="s">
        <v>42</v>
      </c>
      <c r="C101" s="8">
        <v>190106</v>
      </c>
      <c r="D101" s="8">
        <v>194728</v>
      </c>
      <c r="E101" s="8">
        <v>196059</v>
      </c>
      <c r="F101" s="8">
        <v>151683.78</v>
      </c>
      <c r="G101" s="8">
        <v>150324</v>
      </c>
      <c r="H101" s="8">
        <v>129304</v>
      </c>
      <c r="I101" s="8">
        <v>114789</v>
      </c>
      <c r="J101" s="8">
        <v>109031</v>
      </c>
      <c r="K101" s="8">
        <v>118648</v>
      </c>
      <c r="L101" s="8">
        <v>111857</v>
      </c>
      <c r="M101" s="8">
        <v>175256</v>
      </c>
      <c r="N101" s="8">
        <v>177768</v>
      </c>
      <c r="O101" s="53">
        <f t="shared" si="1"/>
        <v>1819553.78</v>
      </c>
    </row>
    <row r="102" spans="1:15">
      <c r="A102" s="231"/>
      <c r="B102" s="288"/>
      <c r="C102" s="231"/>
      <c r="D102" s="231"/>
      <c r="E102" s="231"/>
      <c r="F102" s="231"/>
      <c r="G102" s="231"/>
      <c r="H102" s="231"/>
      <c r="I102" s="231"/>
      <c r="J102" s="231"/>
      <c r="K102" s="231"/>
      <c r="L102" s="231"/>
      <c r="M102" s="231"/>
      <c r="N102" s="231"/>
      <c r="O102" s="53"/>
    </row>
    <row r="103" spans="1:15">
      <c r="A103" s="288" t="s">
        <v>48</v>
      </c>
      <c r="B103" s="288" t="s">
        <v>26</v>
      </c>
      <c r="C103" s="231">
        <v>137.04599999999999</v>
      </c>
      <c r="D103" s="231">
        <v>130.7978</v>
      </c>
      <c r="E103" s="231">
        <v>106.93770000000001</v>
      </c>
      <c r="F103" s="231">
        <v>48.75</v>
      </c>
      <c r="G103" s="231">
        <v>33.75</v>
      </c>
      <c r="H103" s="231">
        <v>23.63</v>
      </c>
      <c r="I103" s="231">
        <v>10.97</v>
      </c>
      <c r="J103" s="231">
        <v>8.44</v>
      </c>
      <c r="K103" s="231">
        <v>6.06</v>
      </c>
      <c r="L103" s="231">
        <v>14.14</v>
      </c>
      <c r="M103" s="231">
        <v>56.95</v>
      </c>
      <c r="N103" s="231">
        <v>116.79</v>
      </c>
      <c r="O103" s="53">
        <f t="shared" si="1"/>
        <v>694.26150000000007</v>
      </c>
    </row>
    <row r="104" spans="1:15">
      <c r="A104" s="231"/>
      <c r="B104" s="288" t="s">
        <v>27</v>
      </c>
      <c r="C104" s="231">
        <v>49.4283</v>
      </c>
      <c r="D104" s="231">
        <v>52.866799999999998</v>
      </c>
      <c r="E104" s="231">
        <v>47.279200000000003</v>
      </c>
      <c r="F104" s="231">
        <v>27.72</v>
      </c>
      <c r="G104" s="231">
        <v>10.1</v>
      </c>
      <c r="H104" s="231">
        <v>0.43</v>
      </c>
      <c r="I104" s="231">
        <v>0.64</v>
      </c>
      <c r="J104" s="231">
        <v>0.43</v>
      </c>
      <c r="K104" s="231">
        <v>0.64</v>
      </c>
      <c r="L104" s="231">
        <v>10.75</v>
      </c>
      <c r="M104" s="231">
        <v>12.03</v>
      </c>
      <c r="N104" s="231">
        <v>53.08</v>
      </c>
      <c r="O104" s="53">
        <f t="shared" si="1"/>
        <v>265.39429999999999</v>
      </c>
    </row>
    <row r="105" spans="1:15">
      <c r="A105" s="231"/>
      <c r="B105" s="294" t="s">
        <v>28</v>
      </c>
      <c r="C105" s="294" t="s">
        <v>45</v>
      </c>
      <c r="D105" s="294" t="s">
        <v>45</v>
      </c>
      <c r="E105" s="294" t="s">
        <v>45</v>
      </c>
      <c r="F105" s="294" t="s">
        <v>45</v>
      </c>
      <c r="G105" s="294" t="s">
        <v>45</v>
      </c>
      <c r="H105" s="294" t="s">
        <v>45</v>
      </c>
      <c r="I105" s="294" t="s">
        <v>45</v>
      </c>
      <c r="J105" s="294" t="s">
        <v>45</v>
      </c>
      <c r="K105" s="294" t="s">
        <v>45</v>
      </c>
      <c r="L105" s="294" t="s">
        <v>45</v>
      </c>
      <c r="M105" s="294" t="s">
        <v>45</v>
      </c>
      <c r="N105" s="294" t="s">
        <v>45</v>
      </c>
      <c r="O105" s="54">
        <f t="shared" si="1"/>
        <v>0</v>
      </c>
    </row>
    <row r="106" spans="1:15">
      <c r="A106" s="231"/>
      <c r="B106" s="288" t="s">
        <v>29</v>
      </c>
      <c r="C106" s="231">
        <v>184.4727</v>
      </c>
      <c r="D106" s="231">
        <v>164.9067</v>
      </c>
      <c r="E106" s="231">
        <v>183.2199</v>
      </c>
      <c r="F106" s="231">
        <v>151.27000000000001</v>
      </c>
      <c r="G106" s="231">
        <v>38.020000000000003</v>
      </c>
      <c r="H106" s="231">
        <v>17.61</v>
      </c>
      <c r="I106" s="231">
        <v>16.170000000000002</v>
      </c>
      <c r="J106" s="231">
        <v>16.170000000000002</v>
      </c>
      <c r="K106" s="231">
        <v>17.239999999999998</v>
      </c>
      <c r="L106" s="231">
        <v>7.64</v>
      </c>
      <c r="M106" s="231">
        <v>42.67</v>
      </c>
      <c r="N106" s="231">
        <v>80.900000000000006</v>
      </c>
      <c r="O106" s="53">
        <f t="shared" si="1"/>
        <v>920.28929999999991</v>
      </c>
    </row>
    <row r="107" spans="1:15">
      <c r="A107" s="231"/>
      <c r="B107" s="288" t="s">
        <v>30</v>
      </c>
      <c r="C107" s="231">
        <v>55.9208</v>
      </c>
      <c r="D107" s="231">
        <v>57.328899999999997</v>
      </c>
      <c r="E107" s="231">
        <v>44.656199999999998</v>
      </c>
      <c r="F107" s="231">
        <v>24.14</v>
      </c>
      <c r="G107" s="231">
        <v>19.71</v>
      </c>
      <c r="H107" s="231">
        <v>18.100000000000001</v>
      </c>
      <c r="I107" s="231">
        <v>21.32</v>
      </c>
      <c r="J107" s="231">
        <v>19.309999999999999</v>
      </c>
      <c r="K107" s="231">
        <v>20.92</v>
      </c>
      <c r="L107" s="231">
        <v>18.510000000000002</v>
      </c>
      <c r="M107" s="231">
        <v>20.72</v>
      </c>
      <c r="N107" s="231">
        <v>44.86</v>
      </c>
      <c r="O107" s="53">
        <f t="shared" si="1"/>
        <v>365.49590000000001</v>
      </c>
    </row>
    <row r="108" spans="1:15">
      <c r="A108" s="231"/>
      <c r="B108" s="288" t="s">
        <v>31</v>
      </c>
      <c r="C108" s="231">
        <v>242.3844</v>
      </c>
      <c r="D108" s="231">
        <v>327.94970000000001</v>
      </c>
      <c r="E108" s="231">
        <v>235.0763</v>
      </c>
      <c r="F108" s="231">
        <v>281.67</v>
      </c>
      <c r="G108" s="231">
        <v>239.03</v>
      </c>
      <c r="H108" s="231">
        <v>0.3</v>
      </c>
      <c r="I108" s="288" t="s">
        <v>45</v>
      </c>
      <c r="J108" s="231">
        <v>32.28</v>
      </c>
      <c r="K108" s="231">
        <v>199.75</v>
      </c>
      <c r="L108" s="231">
        <v>217.42</v>
      </c>
      <c r="M108" s="231">
        <v>250.91</v>
      </c>
      <c r="N108" s="231">
        <v>336.48</v>
      </c>
      <c r="O108" s="53">
        <f t="shared" si="1"/>
        <v>2363.2503999999999</v>
      </c>
    </row>
    <row r="109" spans="1:15">
      <c r="A109" s="231"/>
      <c r="B109" s="288" t="s">
        <v>32</v>
      </c>
      <c r="C109" s="231">
        <v>80.5</v>
      </c>
      <c r="D109" s="288" t="s">
        <v>45</v>
      </c>
      <c r="E109" s="231">
        <v>176.6113</v>
      </c>
      <c r="F109" s="231">
        <v>504.34</v>
      </c>
      <c r="G109" s="231">
        <v>452.11</v>
      </c>
      <c r="H109" s="231">
        <v>577.79999999999995</v>
      </c>
      <c r="I109" s="231">
        <v>451.12</v>
      </c>
      <c r="J109" s="231">
        <v>545.51</v>
      </c>
      <c r="K109" s="231">
        <v>499.62</v>
      </c>
      <c r="L109" s="231">
        <v>552.76</v>
      </c>
      <c r="M109" s="231">
        <v>493.04</v>
      </c>
      <c r="N109" s="231">
        <v>132.94</v>
      </c>
      <c r="O109" s="53">
        <f t="shared" si="1"/>
        <v>4466.3512999999994</v>
      </c>
    </row>
    <row r="110" spans="1:15">
      <c r="A110" s="231"/>
      <c r="B110" s="288" t="s">
        <v>33</v>
      </c>
      <c r="C110" s="288" t="s">
        <v>45</v>
      </c>
      <c r="D110" s="288" t="s">
        <v>45</v>
      </c>
      <c r="E110" s="288" t="s">
        <v>45</v>
      </c>
      <c r="F110" s="288" t="s">
        <v>45</v>
      </c>
      <c r="G110" s="288" t="s">
        <v>45</v>
      </c>
      <c r="H110" s="288" t="s">
        <v>45</v>
      </c>
      <c r="I110" s="288" t="s">
        <v>45</v>
      </c>
      <c r="J110" s="288" t="s">
        <v>45</v>
      </c>
      <c r="K110" s="288" t="s">
        <v>45</v>
      </c>
      <c r="L110" s="288" t="s">
        <v>45</v>
      </c>
      <c r="M110" s="288" t="s">
        <v>45</v>
      </c>
      <c r="N110" s="288" t="s">
        <v>45</v>
      </c>
      <c r="O110" s="53">
        <f t="shared" si="1"/>
        <v>0</v>
      </c>
    </row>
    <row r="111" spans="1:15">
      <c r="A111" s="231"/>
      <c r="B111" s="288" t="s">
        <v>34</v>
      </c>
      <c r="C111" s="231">
        <v>182.7</v>
      </c>
      <c r="D111" s="231">
        <v>108.3</v>
      </c>
      <c r="E111" s="231">
        <v>45.8</v>
      </c>
      <c r="F111" s="231">
        <v>34.9</v>
      </c>
      <c r="G111" s="288" t="s">
        <v>45</v>
      </c>
      <c r="H111" s="288" t="s">
        <v>45</v>
      </c>
      <c r="I111" s="231">
        <v>0.6</v>
      </c>
      <c r="J111" s="288" t="s">
        <v>45</v>
      </c>
      <c r="K111" s="288" t="s">
        <v>45</v>
      </c>
      <c r="L111" s="231">
        <v>36.5</v>
      </c>
      <c r="M111" s="231">
        <v>146.30000000000001</v>
      </c>
      <c r="N111" s="231">
        <v>134</v>
      </c>
      <c r="O111" s="53">
        <f t="shared" si="1"/>
        <v>689.1</v>
      </c>
    </row>
    <row r="112" spans="1:15">
      <c r="A112" s="231"/>
      <c r="B112" s="288" t="s">
        <v>35</v>
      </c>
      <c r="C112" s="288" t="s">
        <v>45</v>
      </c>
      <c r="D112" s="288" t="s">
        <v>45</v>
      </c>
      <c r="E112" s="288" t="s">
        <v>45</v>
      </c>
      <c r="F112" s="288" t="s">
        <v>45</v>
      </c>
      <c r="G112" s="288" t="s">
        <v>45</v>
      </c>
      <c r="H112" s="288" t="s">
        <v>45</v>
      </c>
      <c r="I112" s="288" t="s">
        <v>45</v>
      </c>
      <c r="J112" s="288" t="s">
        <v>45</v>
      </c>
      <c r="K112" s="288" t="s">
        <v>45</v>
      </c>
      <c r="L112" s="288" t="s">
        <v>45</v>
      </c>
      <c r="M112" s="288" t="s">
        <v>45</v>
      </c>
      <c r="N112" s="288" t="s">
        <v>45</v>
      </c>
      <c r="O112" s="53">
        <f t="shared" si="1"/>
        <v>0</v>
      </c>
    </row>
    <row r="113" spans="1:15">
      <c r="A113" s="231"/>
      <c r="B113" s="288" t="s">
        <v>36</v>
      </c>
      <c r="C113" s="231">
        <v>110.5399</v>
      </c>
      <c r="D113" s="231">
        <v>105.1538</v>
      </c>
      <c r="E113" s="231">
        <v>92.472999999999999</v>
      </c>
      <c r="F113" s="231">
        <v>43.28</v>
      </c>
      <c r="G113" s="231">
        <v>31.31</v>
      </c>
      <c r="H113" s="231">
        <v>12.52</v>
      </c>
      <c r="I113" s="231">
        <v>4.51</v>
      </c>
      <c r="J113" s="231">
        <v>4.08</v>
      </c>
      <c r="K113" s="231">
        <v>5.8</v>
      </c>
      <c r="L113" s="231">
        <v>64.760000000000005</v>
      </c>
      <c r="M113" s="231">
        <v>109.28</v>
      </c>
      <c r="N113" s="231">
        <v>125.58</v>
      </c>
      <c r="O113" s="53">
        <f t="shared" si="1"/>
        <v>709.2867</v>
      </c>
    </row>
    <row r="114" spans="1:15">
      <c r="A114" s="231"/>
      <c r="B114" s="288" t="s">
        <v>37</v>
      </c>
      <c r="C114" s="288" t="s">
        <v>45</v>
      </c>
      <c r="D114" s="288" t="s">
        <v>45</v>
      </c>
      <c r="E114" s="288" t="s">
        <v>45</v>
      </c>
      <c r="F114" s="288" t="s">
        <v>45</v>
      </c>
      <c r="G114" s="288" t="s">
        <v>45</v>
      </c>
      <c r="H114" s="288" t="s">
        <v>45</v>
      </c>
      <c r="I114" s="288" t="s">
        <v>45</v>
      </c>
      <c r="J114" s="288" t="s">
        <v>45</v>
      </c>
      <c r="K114" s="288" t="s">
        <v>45</v>
      </c>
      <c r="L114" s="288" t="s">
        <v>45</v>
      </c>
      <c r="M114" s="288" t="s">
        <v>45</v>
      </c>
      <c r="N114" s="288" t="s">
        <v>45</v>
      </c>
      <c r="O114" s="53">
        <f t="shared" si="1"/>
        <v>0</v>
      </c>
    </row>
    <row r="115" spans="1:15">
      <c r="A115" s="231"/>
      <c r="B115" s="288" t="s">
        <v>38</v>
      </c>
      <c r="C115" s="231">
        <v>101.5</v>
      </c>
      <c r="D115" s="231">
        <v>89.1</v>
      </c>
      <c r="E115" s="231">
        <v>94.6</v>
      </c>
      <c r="F115" s="231">
        <v>49.6</v>
      </c>
      <c r="G115" s="231">
        <v>34.5</v>
      </c>
      <c r="H115" s="231">
        <v>28</v>
      </c>
      <c r="I115" s="231">
        <v>15.9</v>
      </c>
      <c r="J115" s="231">
        <v>11</v>
      </c>
      <c r="K115" s="231">
        <v>9.1</v>
      </c>
      <c r="L115" s="231">
        <v>14</v>
      </c>
      <c r="M115" s="231">
        <v>22.9</v>
      </c>
      <c r="N115" s="231">
        <v>55</v>
      </c>
      <c r="O115" s="53">
        <f t="shared" si="1"/>
        <v>525.20000000000005</v>
      </c>
    </row>
    <row r="116" spans="1:15">
      <c r="A116" s="231"/>
      <c r="B116" s="288" t="s">
        <v>39</v>
      </c>
      <c r="C116" s="231">
        <v>143.1</v>
      </c>
      <c r="D116" s="231">
        <v>113.4</v>
      </c>
      <c r="E116" s="231">
        <v>116.336</v>
      </c>
      <c r="F116" s="231">
        <v>65.3</v>
      </c>
      <c r="G116" s="231">
        <v>20.61</v>
      </c>
      <c r="H116" s="231">
        <v>8.41</v>
      </c>
      <c r="I116" s="231">
        <v>3.6</v>
      </c>
      <c r="J116" s="231">
        <v>2.2999999999999998</v>
      </c>
      <c r="K116" s="231">
        <v>2.2000000000000002</v>
      </c>
      <c r="L116" s="231">
        <v>7.5</v>
      </c>
      <c r="M116" s="231">
        <v>31.8</v>
      </c>
      <c r="N116" s="231">
        <v>115.9</v>
      </c>
      <c r="O116" s="53">
        <f t="shared" si="1"/>
        <v>630.45600000000002</v>
      </c>
    </row>
    <row r="117" spans="1:15">
      <c r="A117" s="231"/>
      <c r="B117" s="288" t="s">
        <v>40</v>
      </c>
      <c r="C117" s="288" t="s">
        <v>45</v>
      </c>
      <c r="D117" s="288" t="s">
        <v>45</v>
      </c>
      <c r="E117" s="288" t="s">
        <v>45</v>
      </c>
      <c r="F117" s="288" t="s">
        <v>45</v>
      </c>
      <c r="G117" s="288" t="s">
        <v>45</v>
      </c>
      <c r="H117" s="288" t="s">
        <v>45</v>
      </c>
      <c r="I117" s="288" t="s">
        <v>45</v>
      </c>
      <c r="J117" s="288" t="s">
        <v>45</v>
      </c>
      <c r="K117" s="288" t="s">
        <v>45</v>
      </c>
      <c r="L117" s="288" t="s">
        <v>45</v>
      </c>
      <c r="M117" s="288" t="s">
        <v>45</v>
      </c>
      <c r="N117" s="288" t="s">
        <v>45</v>
      </c>
      <c r="O117" s="53">
        <f t="shared" si="1"/>
        <v>0</v>
      </c>
    </row>
    <row r="118" spans="1:15">
      <c r="A118" s="231"/>
      <c r="B118" s="288" t="s">
        <v>41</v>
      </c>
      <c r="C118" s="231">
        <v>1941.5934</v>
      </c>
      <c r="D118" s="231">
        <v>1650.8679999999999</v>
      </c>
      <c r="E118" s="231">
        <v>1101.5057999999999</v>
      </c>
      <c r="F118" s="231">
        <v>664.91</v>
      </c>
      <c r="G118" s="231">
        <v>412.53</v>
      </c>
      <c r="H118" s="231">
        <v>362.89</v>
      </c>
      <c r="I118" s="231">
        <v>276.39999999999998</v>
      </c>
      <c r="J118" s="231">
        <v>272.83999999999997</v>
      </c>
      <c r="K118" s="231">
        <v>317.35000000000002</v>
      </c>
      <c r="L118" s="231">
        <v>414.89</v>
      </c>
      <c r="M118" s="231">
        <v>603.26</v>
      </c>
      <c r="N118" s="231">
        <v>1087.82</v>
      </c>
      <c r="O118" s="53">
        <f t="shared" si="1"/>
        <v>9106.8572000000004</v>
      </c>
    </row>
    <row r="119" spans="1:15">
      <c r="A119" s="8"/>
      <c r="B119" s="9" t="s">
        <v>42</v>
      </c>
      <c r="C119" s="8">
        <v>3229.1854999999996</v>
      </c>
      <c r="D119" s="8">
        <v>2800.6716999999999</v>
      </c>
      <c r="E119" s="8">
        <v>2244.4954000000002</v>
      </c>
      <c r="F119" s="8">
        <v>1895.88</v>
      </c>
      <c r="G119" s="8">
        <v>1291.67</v>
      </c>
      <c r="H119" s="8">
        <v>1049.69</v>
      </c>
      <c r="I119" s="8">
        <v>801.23</v>
      </c>
      <c r="J119" s="8">
        <v>912.36</v>
      </c>
      <c r="K119" s="8">
        <v>1078.68</v>
      </c>
      <c r="L119" s="8">
        <v>1358.87</v>
      </c>
      <c r="M119" s="8">
        <v>1789.86</v>
      </c>
      <c r="N119" s="8">
        <v>2283.35</v>
      </c>
      <c r="O119" s="53">
        <f t="shared" si="1"/>
        <v>20735.942599999998</v>
      </c>
    </row>
    <row r="120" spans="1:15">
      <c r="A120" s="231"/>
      <c r="B120" s="288"/>
      <c r="C120" s="231"/>
      <c r="D120" s="231"/>
      <c r="E120" s="231"/>
      <c r="F120" s="231"/>
      <c r="G120" s="231"/>
      <c r="H120" s="231"/>
      <c r="I120" s="231"/>
      <c r="J120" s="231"/>
      <c r="K120" s="231"/>
      <c r="L120" s="231"/>
      <c r="M120" s="231"/>
      <c r="N120" s="231"/>
      <c r="O120" s="53"/>
    </row>
    <row r="121" spans="1:15">
      <c r="A121" s="288" t="s">
        <v>49</v>
      </c>
      <c r="B121" s="288" t="s">
        <v>26</v>
      </c>
      <c r="C121" s="231">
        <v>84773.993099999992</v>
      </c>
      <c r="D121" s="231">
        <v>72990.370099999986</v>
      </c>
      <c r="E121" s="231">
        <v>70311.832800000004</v>
      </c>
      <c r="F121" s="231">
        <v>34563.15</v>
      </c>
      <c r="G121" s="231">
        <v>23663.4</v>
      </c>
      <c r="H121" s="231">
        <v>17046.64</v>
      </c>
      <c r="I121" s="231">
        <v>16739.71</v>
      </c>
      <c r="J121" s="231">
        <v>13162.26</v>
      </c>
      <c r="K121" s="231">
        <v>16454.28</v>
      </c>
      <c r="L121" s="231">
        <v>20657.080000000002</v>
      </c>
      <c r="M121" s="231">
        <v>32409.33</v>
      </c>
      <c r="N121" s="231">
        <v>59379.4</v>
      </c>
      <c r="O121" s="53">
        <f t="shared" si="1"/>
        <v>462151.44600000011</v>
      </c>
    </row>
    <row r="122" spans="1:15">
      <c r="A122" s="231"/>
      <c r="B122" s="288" t="s">
        <v>27</v>
      </c>
      <c r="C122" s="231">
        <v>17691.017899999999</v>
      </c>
      <c r="D122" s="231">
        <v>22892.182399999998</v>
      </c>
      <c r="E122" s="231">
        <v>18142.090200000002</v>
      </c>
      <c r="F122" s="231">
        <v>9441</v>
      </c>
      <c r="G122" s="231">
        <v>5573.88</v>
      </c>
      <c r="H122" s="231">
        <v>5112.1099999999997</v>
      </c>
      <c r="I122" s="231">
        <v>2960.61</v>
      </c>
      <c r="J122" s="231">
        <v>2753.47</v>
      </c>
      <c r="K122" s="231">
        <v>2995.7</v>
      </c>
      <c r="L122" s="231">
        <v>5434.39</v>
      </c>
      <c r="M122" s="231">
        <v>11997.98</v>
      </c>
      <c r="N122" s="231">
        <v>25221.47</v>
      </c>
      <c r="O122" s="53">
        <f t="shared" si="1"/>
        <v>130215.9005</v>
      </c>
    </row>
    <row r="123" spans="1:15">
      <c r="A123" s="231"/>
      <c r="B123" s="294" t="s">
        <v>28</v>
      </c>
      <c r="C123" s="293">
        <v>166423.80569999997</v>
      </c>
      <c r="D123" s="293">
        <v>148021.91369999998</v>
      </c>
      <c r="E123" s="293">
        <v>122444.45889999998</v>
      </c>
      <c r="F123" s="293">
        <v>73489.7</v>
      </c>
      <c r="G123" s="293">
        <v>50313.01</v>
      </c>
      <c r="H123" s="293">
        <v>42766.5</v>
      </c>
      <c r="I123" s="293">
        <v>40742.629999999997</v>
      </c>
      <c r="J123" s="293">
        <v>42543.05</v>
      </c>
      <c r="K123" s="293">
        <v>45302.85</v>
      </c>
      <c r="L123" s="293">
        <v>49173.46</v>
      </c>
      <c r="M123" s="293">
        <v>108722.27</v>
      </c>
      <c r="N123" s="293">
        <v>152379.69</v>
      </c>
      <c r="O123" s="54">
        <f t="shared" si="1"/>
        <v>1042323.3382999999</v>
      </c>
    </row>
    <row r="124" spans="1:15">
      <c r="A124" s="231"/>
      <c r="B124" s="288" t="s">
        <v>29</v>
      </c>
      <c r="C124" s="231">
        <v>172527.04470000003</v>
      </c>
      <c r="D124" s="231">
        <v>161877.61009999999</v>
      </c>
      <c r="E124" s="231">
        <v>147118.19759999998</v>
      </c>
      <c r="F124" s="231">
        <v>76310.73</v>
      </c>
      <c r="G124" s="231">
        <v>71492.61</v>
      </c>
      <c r="H124" s="231">
        <v>56450.79</v>
      </c>
      <c r="I124" s="231">
        <v>57664.92</v>
      </c>
      <c r="J124" s="231">
        <v>51645.120000000003</v>
      </c>
      <c r="K124" s="231">
        <v>61306.48</v>
      </c>
      <c r="L124" s="231">
        <v>67335.41</v>
      </c>
      <c r="M124" s="231">
        <v>84849.29</v>
      </c>
      <c r="N124" s="231">
        <v>145427.96</v>
      </c>
      <c r="O124" s="53">
        <f t="shared" si="1"/>
        <v>1154006.1624</v>
      </c>
    </row>
    <row r="125" spans="1:15">
      <c r="A125" s="231"/>
      <c r="B125" s="288" t="s">
        <v>30</v>
      </c>
      <c r="C125" s="231">
        <v>13814.331999999999</v>
      </c>
      <c r="D125" s="231">
        <v>13112.515100000001</v>
      </c>
      <c r="E125" s="231">
        <v>13248.677499999998</v>
      </c>
      <c r="F125" s="231">
        <v>7118.11</v>
      </c>
      <c r="G125" s="231">
        <v>4160.55</v>
      </c>
      <c r="H125" s="231">
        <v>3444.99</v>
      </c>
      <c r="I125" s="231">
        <v>2476.16</v>
      </c>
      <c r="J125" s="231">
        <v>2459.5700000000002</v>
      </c>
      <c r="K125" s="231">
        <v>2196.2399999999998</v>
      </c>
      <c r="L125" s="231">
        <v>2928.85</v>
      </c>
      <c r="M125" s="231">
        <v>4386.22</v>
      </c>
      <c r="N125" s="231">
        <v>9465.68</v>
      </c>
      <c r="O125" s="53">
        <f t="shared" si="1"/>
        <v>78811.8946</v>
      </c>
    </row>
    <row r="126" spans="1:15">
      <c r="A126" s="231"/>
      <c r="B126" s="288" t="s">
        <v>31</v>
      </c>
      <c r="C126" s="231">
        <v>135658.96480000002</v>
      </c>
      <c r="D126" s="231">
        <v>126481.33319999999</v>
      </c>
      <c r="E126" s="231">
        <v>123520.61549999999</v>
      </c>
      <c r="F126" s="231">
        <v>83182.12</v>
      </c>
      <c r="G126" s="231">
        <v>62048.959999999999</v>
      </c>
      <c r="H126" s="231">
        <v>58604.32</v>
      </c>
      <c r="I126" s="231">
        <v>52617.65</v>
      </c>
      <c r="J126" s="231">
        <v>56254.18</v>
      </c>
      <c r="K126" s="231">
        <v>56400.44</v>
      </c>
      <c r="L126" s="231">
        <v>57325.48</v>
      </c>
      <c r="M126" s="231">
        <v>67482.27</v>
      </c>
      <c r="N126" s="231">
        <v>93499.49</v>
      </c>
      <c r="O126" s="53">
        <f t="shared" si="1"/>
        <v>973075.82349999994</v>
      </c>
    </row>
    <row r="127" spans="1:15">
      <c r="A127" s="231"/>
      <c r="B127" s="288" t="s">
        <v>32</v>
      </c>
      <c r="C127" s="231">
        <v>75685.638099999996</v>
      </c>
      <c r="D127" s="231">
        <v>71332.637000000002</v>
      </c>
      <c r="E127" s="231">
        <v>63320.226899999994</v>
      </c>
      <c r="F127" s="231">
        <v>37346.57</v>
      </c>
      <c r="G127" s="231">
        <v>22744.43</v>
      </c>
      <c r="H127" s="231">
        <v>18482.38</v>
      </c>
      <c r="I127" s="231">
        <v>11616.63</v>
      </c>
      <c r="J127" s="231">
        <v>13502.43</v>
      </c>
      <c r="K127" s="231">
        <v>14855.47</v>
      </c>
      <c r="L127" s="231">
        <v>18456.45</v>
      </c>
      <c r="M127" s="231">
        <v>32633.06</v>
      </c>
      <c r="N127" s="231">
        <v>64469.43</v>
      </c>
      <c r="O127" s="53">
        <f t="shared" si="1"/>
        <v>444445.35199999996</v>
      </c>
    </row>
    <row r="128" spans="1:15">
      <c r="A128" s="231"/>
      <c r="B128" s="288" t="s">
        <v>33</v>
      </c>
      <c r="C128" s="231">
        <v>3673.2012999999997</v>
      </c>
      <c r="D128" s="231">
        <v>3026.7237999999998</v>
      </c>
      <c r="E128" s="231">
        <v>2616.5763999999999</v>
      </c>
      <c r="F128" s="231">
        <v>1629.04</v>
      </c>
      <c r="G128" s="231">
        <v>771.55</v>
      </c>
      <c r="H128" s="231">
        <v>436.75</v>
      </c>
      <c r="I128" s="231">
        <v>603.95000000000005</v>
      </c>
      <c r="J128" s="231">
        <v>627.70000000000005</v>
      </c>
      <c r="K128" s="231">
        <v>943.96</v>
      </c>
      <c r="L128" s="231">
        <v>1189.8599999999999</v>
      </c>
      <c r="M128" s="231">
        <v>2009.08</v>
      </c>
      <c r="N128" s="231">
        <v>3183.94</v>
      </c>
      <c r="O128" s="53">
        <f t="shared" si="1"/>
        <v>20712.331499999997</v>
      </c>
    </row>
    <row r="129" spans="1:15">
      <c r="A129" s="231"/>
      <c r="B129" s="288" t="s">
        <v>34</v>
      </c>
      <c r="C129" s="231">
        <v>17307.139599999999</v>
      </c>
      <c r="D129" s="231">
        <v>15212.611199999999</v>
      </c>
      <c r="E129" s="231">
        <v>10123.678099999999</v>
      </c>
      <c r="F129" s="231">
        <v>4453.3</v>
      </c>
      <c r="G129" s="231">
        <v>2743.77</v>
      </c>
      <c r="H129" s="231">
        <v>1580.09</v>
      </c>
      <c r="I129" s="231">
        <v>1343.2</v>
      </c>
      <c r="J129" s="231">
        <v>1412.95</v>
      </c>
      <c r="K129" s="231">
        <v>1405.09</v>
      </c>
      <c r="L129" s="231">
        <v>2475.64</v>
      </c>
      <c r="M129" s="231">
        <v>5319.18</v>
      </c>
      <c r="N129" s="231">
        <v>14858.98</v>
      </c>
      <c r="O129" s="53">
        <f t="shared" si="1"/>
        <v>78235.628899999982</v>
      </c>
    </row>
    <row r="130" spans="1:15">
      <c r="A130" s="231"/>
      <c r="B130" s="288" t="s">
        <v>35</v>
      </c>
      <c r="C130" s="231">
        <v>5547.6292000000003</v>
      </c>
      <c r="D130" s="231">
        <v>4999.4484000000002</v>
      </c>
      <c r="E130" s="231">
        <v>3404.6772000000001</v>
      </c>
      <c r="F130" s="231">
        <v>1071.4000000000001</v>
      </c>
      <c r="G130" s="231">
        <v>541.15</v>
      </c>
      <c r="H130" s="231">
        <v>375.13</v>
      </c>
      <c r="I130" s="231">
        <v>456.93</v>
      </c>
      <c r="J130" s="231">
        <v>407.94</v>
      </c>
      <c r="K130" s="231">
        <v>447.88</v>
      </c>
      <c r="L130" s="231">
        <v>731.43</v>
      </c>
      <c r="M130" s="231">
        <v>1981.9</v>
      </c>
      <c r="N130" s="231">
        <v>7635.81</v>
      </c>
      <c r="O130" s="53">
        <f t="shared" si="1"/>
        <v>27601.324800000002</v>
      </c>
    </row>
    <row r="131" spans="1:15">
      <c r="A131" s="231"/>
      <c r="B131" s="288" t="s">
        <v>36</v>
      </c>
      <c r="C131" s="231">
        <v>85295.357799999998</v>
      </c>
      <c r="D131" s="231">
        <v>68593.354599999991</v>
      </c>
      <c r="E131" s="231">
        <v>72684.596000000005</v>
      </c>
      <c r="F131" s="231">
        <v>38382.89</v>
      </c>
      <c r="G131" s="231">
        <v>30823.68</v>
      </c>
      <c r="H131" s="231">
        <v>22619.58</v>
      </c>
      <c r="I131" s="231">
        <v>17595.13</v>
      </c>
      <c r="J131" s="231">
        <v>18892.16</v>
      </c>
      <c r="K131" s="231">
        <v>21119.52</v>
      </c>
      <c r="L131" s="231">
        <v>23083.85</v>
      </c>
      <c r="M131" s="231">
        <v>37308.870000000003</v>
      </c>
      <c r="N131" s="231">
        <v>66578.240000000005</v>
      </c>
      <c r="O131" s="53">
        <f t="shared" si="1"/>
        <v>502977.22839999996</v>
      </c>
    </row>
    <row r="132" spans="1:15">
      <c r="A132" s="231"/>
      <c r="B132" s="288" t="s">
        <v>37</v>
      </c>
      <c r="C132" s="231">
        <v>4442.4211000000005</v>
      </c>
      <c r="D132" s="231">
        <v>3787.7899000000002</v>
      </c>
      <c r="E132" s="231">
        <v>2846.1358</v>
      </c>
      <c r="F132" s="231">
        <v>1568.63</v>
      </c>
      <c r="G132" s="231">
        <v>843.11</v>
      </c>
      <c r="H132" s="231">
        <v>661.96</v>
      </c>
      <c r="I132" s="231">
        <v>734.64</v>
      </c>
      <c r="J132" s="231">
        <v>663.81</v>
      </c>
      <c r="K132" s="231">
        <v>683.32</v>
      </c>
      <c r="L132" s="231">
        <v>931.03</v>
      </c>
      <c r="M132" s="231">
        <v>1618.79</v>
      </c>
      <c r="N132" s="231">
        <v>4177.2700000000004</v>
      </c>
      <c r="O132" s="53">
        <f t="shared" si="1"/>
        <v>22958.906800000001</v>
      </c>
    </row>
    <row r="133" spans="1:15">
      <c r="A133" s="231"/>
      <c r="B133" s="288" t="s">
        <v>38</v>
      </c>
      <c r="C133" s="231">
        <v>91175.006500000003</v>
      </c>
      <c r="D133" s="231">
        <v>87349.878700000001</v>
      </c>
      <c r="E133" s="231">
        <v>90978.235700000005</v>
      </c>
      <c r="F133" s="231">
        <v>65971.13</v>
      </c>
      <c r="G133" s="231">
        <v>52981.53</v>
      </c>
      <c r="H133" s="231">
        <v>50382.31</v>
      </c>
      <c r="I133" s="231">
        <v>43157.31</v>
      </c>
      <c r="J133" s="231">
        <v>34183.33</v>
      </c>
      <c r="K133" s="231">
        <v>38474.47</v>
      </c>
      <c r="L133" s="231">
        <v>37157.760000000002</v>
      </c>
      <c r="M133" s="231">
        <v>50257.99</v>
      </c>
      <c r="N133" s="231">
        <v>66141.56</v>
      </c>
      <c r="O133" s="53">
        <f t="shared" si="1"/>
        <v>708210.51090000011</v>
      </c>
    </row>
    <row r="134" spans="1:15">
      <c r="A134" s="231"/>
      <c r="B134" s="288" t="s">
        <v>39</v>
      </c>
      <c r="C134" s="231">
        <v>112069.74700000002</v>
      </c>
      <c r="D134" s="231">
        <v>98163.545599999998</v>
      </c>
      <c r="E134" s="231">
        <v>92595.186900000001</v>
      </c>
      <c r="F134" s="231">
        <v>58858.12</v>
      </c>
      <c r="G134" s="231">
        <v>35435.46</v>
      </c>
      <c r="H134" s="231">
        <v>28494.06</v>
      </c>
      <c r="I134" s="231">
        <v>26294.68</v>
      </c>
      <c r="J134" s="231">
        <v>26098.62</v>
      </c>
      <c r="K134" s="231">
        <v>24128.6</v>
      </c>
      <c r="L134" s="231">
        <v>24118.85</v>
      </c>
      <c r="M134" s="231">
        <v>52771.93</v>
      </c>
      <c r="N134" s="231">
        <v>75397.94</v>
      </c>
      <c r="O134" s="53">
        <f t="shared" si="1"/>
        <v>654426.73950000014</v>
      </c>
    </row>
    <row r="135" spans="1:15">
      <c r="A135" s="231"/>
      <c r="B135" s="288" t="s">
        <v>40</v>
      </c>
      <c r="C135" s="231">
        <v>13587.7742</v>
      </c>
      <c r="D135" s="231">
        <v>9767.7178999999996</v>
      </c>
      <c r="E135" s="231">
        <v>10518.592000000001</v>
      </c>
      <c r="F135" s="231">
        <v>3951.58</v>
      </c>
      <c r="G135" s="231">
        <v>2396.9499999999998</v>
      </c>
      <c r="H135" s="231">
        <v>2007.28</v>
      </c>
      <c r="I135" s="231">
        <v>1567.8</v>
      </c>
      <c r="J135" s="231">
        <v>1891.37</v>
      </c>
      <c r="K135" s="231">
        <v>2186</v>
      </c>
      <c r="L135" s="231">
        <v>2320.0700000000002</v>
      </c>
      <c r="M135" s="231">
        <v>3402.17</v>
      </c>
      <c r="N135" s="231">
        <v>8114.84</v>
      </c>
      <c r="O135" s="53">
        <f t="shared" si="1"/>
        <v>61712.144100000005</v>
      </c>
    </row>
    <row r="136" spans="1:15">
      <c r="A136" s="231"/>
      <c r="B136" s="288" t="s">
        <v>41</v>
      </c>
      <c r="C136" s="231">
        <v>106678.25180000001</v>
      </c>
      <c r="D136" s="231">
        <v>97958.732699999993</v>
      </c>
      <c r="E136" s="231">
        <v>88093.329399999988</v>
      </c>
      <c r="F136" s="231">
        <v>58269.42</v>
      </c>
      <c r="G136" s="231">
        <v>52823.94</v>
      </c>
      <c r="H136" s="231">
        <v>38308.230000000003</v>
      </c>
      <c r="I136" s="231">
        <v>42613.06</v>
      </c>
      <c r="J136" s="231">
        <v>44619.6</v>
      </c>
      <c r="K136" s="231">
        <v>43615.74</v>
      </c>
      <c r="L136" s="231">
        <v>43782.25</v>
      </c>
      <c r="M136" s="231">
        <v>49269.55</v>
      </c>
      <c r="N136" s="231">
        <v>94050.4</v>
      </c>
      <c r="O136" s="53">
        <f t="shared" si="1"/>
        <v>760082.50390000001</v>
      </c>
    </row>
    <row r="137" spans="1:15">
      <c r="A137" s="8"/>
      <c r="B137" s="9" t="s">
        <v>42</v>
      </c>
      <c r="C137" s="8">
        <v>1106351.3247999998</v>
      </c>
      <c r="D137" s="8">
        <v>1005568.3644</v>
      </c>
      <c r="E137" s="8">
        <v>931967.1068999999</v>
      </c>
      <c r="F137" s="8">
        <v>555606.89</v>
      </c>
      <c r="G137" s="8">
        <v>419357.98</v>
      </c>
      <c r="H137" s="8">
        <v>346773.12</v>
      </c>
      <c r="I137" s="8">
        <v>319185.01</v>
      </c>
      <c r="J137" s="8">
        <v>311117.56</v>
      </c>
      <c r="K137" s="8">
        <v>332516.03999999998</v>
      </c>
      <c r="L137" s="8">
        <v>357101.86</v>
      </c>
      <c r="M137" s="8">
        <v>546419.88</v>
      </c>
      <c r="N137" s="8">
        <v>889982.1</v>
      </c>
      <c r="O137" s="53">
        <f t="shared" si="1"/>
        <v>7121947.2360999994</v>
      </c>
    </row>
  </sheetData>
  <mergeCells count="1">
    <mergeCell ref="C10:N10"/>
  </mergeCell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O137"/>
  <sheetViews>
    <sheetView topLeftCell="B4" zoomScale="80" zoomScaleNormal="80" workbookViewId="0">
      <selection activeCell="I15" sqref="I15:N15"/>
    </sheetView>
  </sheetViews>
  <sheetFormatPr defaultRowHeight="15"/>
  <cols>
    <col min="1" max="1" width="39.42578125" customWidth="1"/>
    <col min="2" max="2" width="34.7109375" bestFit="1" customWidth="1"/>
    <col min="3" max="8" width="15.140625" bestFit="1" customWidth="1"/>
    <col min="9" max="14" width="10.7109375" customWidth="1"/>
    <col min="15" max="15" width="10.5703125" style="1" bestFit="1" customWidth="1"/>
  </cols>
  <sheetData>
    <row r="1" spans="1:15" s="697" customFormat="1">
      <c r="A1" s="74" t="s">
        <v>2251</v>
      </c>
      <c r="O1" s="700"/>
    </row>
    <row r="2" spans="1:15" s="697" customFormat="1">
      <c r="A2" s="707"/>
      <c r="O2" s="700"/>
    </row>
    <row r="3" spans="1:15">
      <c r="A3" s="3" t="s">
        <v>3</v>
      </c>
      <c r="B3" s="12"/>
      <c r="C3" s="12"/>
      <c r="D3" s="12"/>
      <c r="E3" s="12"/>
      <c r="F3" s="12"/>
      <c r="G3" s="12"/>
      <c r="H3" s="12"/>
      <c r="I3" s="12"/>
    </row>
    <row r="4" spans="1:15">
      <c r="A4" s="4" t="s">
        <v>4</v>
      </c>
    </row>
    <row r="5" spans="1:15">
      <c r="A5" s="4" t="s">
        <v>5</v>
      </c>
    </row>
    <row r="6" spans="1:15">
      <c r="A6" s="4" t="s">
        <v>6</v>
      </c>
    </row>
    <row r="7" spans="1:15">
      <c r="A7" s="4" t="s">
        <v>7</v>
      </c>
    </row>
    <row r="8" spans="1:15">
      <c r="A8" s="4" t="s">
        <v>8</v>
      </c>
    </row>
    <row r="9" spans="1:15">
      <c r="A9" s="4" t="s">
        <v>9</v>
      </c>
    </row>
    <row r="10" spans="1:15" ht="15.75">
      <c r="C10" s="1141" t="s">
        <v>879</v>
      </c>
      <c r="D10" s="1141"/>
      <c r="E10" s="1141"/>
      <c r="F10" s="1141"/>
      <c r="G10" s="1141"/>
      <c r="H10" s="1141"/>
      <c r="I10" s="1141"/>
      <c r="J10" s="1141"/>
      <c r="K10" s="1141"/>
      <c r="L10" s="1141"/>
      <c r="M10" s="1141"/>
      <c r="N10" s="1141"/>
    </row>
    <row r="11" spans="1:15">
      <c r="C11" s="4" t="s">
        <v>11</v>
      </c>
      <c r="D11" s="4" t="s">
        <v>12</v>
      </c>
      <c r="E11" s="4" t="s">
        <v>13</v>
      </c>
      <c r="F11" s="4" t="s">
        <v>14</v>
      </c>
      <c r="G11" s="4" t="s">
        <v>15</v>
      </c>
      <c r="H11" s="4" t="s">
        <v>16</v>
      </c>
      <c r="I11" s="4" t="s">
        <v>17</v>
      </c>
      <c r="J11" s="4" t="s">
        <v>18</v>
      </c>
      <c r="K11" s="4" t="s">
        <v>19</v>
      </c>
      <c r="L11" s="4" t="s">
        <v>20</v>
      </c>
      <c r="M11" s="4" t="s">
        <v>21</v>
      </c>
      <c r="N11" s="4" t="s">
        <v>22</v>
      </c>
      <c r="O11" s="10" t="s">
        <v>50</v>
      </c>
    </row>
    <row r="12" spans="1:15">
      <c r="C12" s="289" t="s">
        <v>880</v>
      </c>
      <c r="D12" s="289" t="s">
        <v>880</v>
      </c>
      <c r="E12" s="289" t="s">
        <v>880</v>
      </c>
      <c r="F12" s="289" t="s">
        <v>880</v>
      </c>
      <c r="G12" s="289" t="s">
        <v>880</v>
      </c>
      <c r="H12" s="289" t="s">
        <v>880</v>
      </c>
      <c r="I12" s="289" t="s">
        <v>880</v>
      </c>
      <c r="J12" s="289" t="s">
        <v>880</v>
      </c>
      <c r="K12" s="289" t="s">
        <v>880</v>
      </c>
      <c r="L12" s="289" t="s">
        <v>878</v>
      </c>
      <c r="M12" s="289" t="s">
        <v>878</v>
      </c>
      <c r="N12" s="289" t="s">
        <v>878</v>
      </c>
    </row>
    <row r="13" spans="1:15">
      <c r="A13" s="288" t="s">
        <v>25</v>
      </c>
      <c r="B13" s="288" t="s">
        <v>26</v>
      </c>
      <c r="C13" s="231">
        <v>17934.3</v>
      </c>
      <c r="D13" s="231">
        <v>18654.2</v>
      </c>
      <c r="E13" s="231">
        <v>16910.7</v>
      </c>
      <c r="F13" s="231">
        <v>8462.9</v>
      </c>
      <c r="G13" s="231">
        <v>5121.2</v>
      </c>
      <c r="H13" s="231">
        <v>2271</v>
      </c>
      <c r="I13" s="231">
        <v>1843.4</v>
      </c>
      <c r="J13" s="231">
        <v>1879.6</v>
      </c>
      <c r="K13" s="231">
        <v>1594.9</v>
      </c>
      <c r="L13" s="231">
        <v>2724</v>
      </c>
      <c r="M13" s="231">
        <v>7013.4</v>
      </c>
      <c r="N13" s="231">
        <v>11969.3</v>
      </c>
      <c r="O13" s="53">
        <f>SUM(C13:N13)</f>
        <v>96378.9</v>
      </c>
    </row>
    <row r="14" spans="1:15">
      <c r="A14" s="231"/>
      <c r="B14" s="288" t="s">
        <v>27</v>
      </c>
      <c r="C14" s="231">
        <v>367.1</v>
      </c>
      <c r="D14" s="231">
        <v>286</v>
      </c>
      <c r="E14" s="231">
        <v>215.7</v>
      </c>
      <c r="F14" s="231">
        <v>146.5</v>
      </c>
      <c r="G14" s="231">
        <v>45.8</v>
      </c>
      <c r="H14" s="231">
        <v>19.7</v>
      </c>
      <c r="I14" s="231">
        <v>21.8</v>
      </c>
      <c r="J14" s="231">
        <v>18.399999999999999</v>
      </c>
      <c r="K14" s="231">
        <v>17.899999999999999</v>
      </c>
      <c r="L14" s="231">
        <v>97.2</v>
      </c>
      <c r="M14" s="231">
        <v>159.19999999999999</v>
      </c>
      <c r="N14" s="231">
        <v>358.7</v>
      </c>
      <c r="O14" s="53">
        <f t="shared" ref="O14:O77" si="0">SUM(C14:N14)</f>
        <v>1754.0000000000002</v>
      </c>
    </row>
    <row r="15" spans="1:15">
      <c r="A15" s="231"/>
      <c r="B15" s="294" t="s">
        <v>28</v>
      </c>
      <c r="C15" s="293">
        <v>39792.169300000001</v>
      </c>
      <c r="D15" s="293">
        <v>41073.006499999996</v>
      </c>
      <c r="E15" s="293">
        <v>32706.830900000004</v>
      </c>
      <c r="F15" s="293">
        <v>19568.701699999998</v>
      </c>
      <c r="G15" s="293">
        <v>8418.6267000000007</v>
      </c>
      <c r="H15" s="293">
        <v>5079.9768000000004</v>
      </c>
      <c r="I15" s="293">
        <v>4508.5135</v>
      </c>
      <c r="J15" s="293">
        <v>4263.4625999999998</v>
      </c>
      <c r="K15" s="293">
        <v>4561.5181999999995</v>
      </c>
      <c r="L15" s="293">
        <v>9985.1790000000001</v>
      </c>
      <c r="M15" s="293">
        <v>16696.498100000001</v>
      </c>
      <c r="N15" s="293">
        <v>34335.029800000004</v>
      </c>
      <c r="O15" s="54">
        <f t="shared" si="0"/>
        <v>220989.51309999998</v>
      </c>
    </row>
    <row r="16" spans="1:15">
      <c r="A16" s="231"/>
      <c r="B16" s="288" t="s">
        <v>29</v>
      </c>
      <c r="C16" s="231">
        <v>37489.199999999997</v>
      </c>
      <c r="D16" s="231">
        <v>38123</v>
      </c>
      <c r="E16" s="231">
        <v>27092.3</v>
      </c>
      <c r="F16" s="231">
        <v>16635.5</v>
      </c>
      <c r="G16" s="231">
        <v>6681.1</v>
      </c>
      <c r="H16" s="231">
        <v>3576</v>
      </c>
      <c r="I16" s="231">
        <v>3116.1</v>
      </c>
      <c r="J16" s="231">
        <v>2946.2</v>
      </c>
      <c r="K16" s="231">
        <v>2549.4</v>
      </c>
      <c r="L16" s="231">
        <v>6696.4</v>
      </c>
      <c r="M16" s="231">
        <v>15932</v>
      </c>
      <c r="N16" s="231">
        <v>31495</v>
      </c>
      <c r="O16" s="53">
        <f t="shared" si="0"/>
        <v>192332.2</v>
      </c>
    </row>
    <row r="17" spans="1:15">
      <c r="A17" s="231"/>
      <c r="B17" s="288" t="s">
        <v>30</v>
      </c>
      <c r="C17" s="231">
        <v>1499.9</v>
      </c>
      <c r="D17" s="231">
        <v>2187.6</v>
      </c>
      <c r="E17" s="231">
        <v>1860.5</v>
      </c>
      <c r="F17" s="231">
        <v>914.3</v>
      </c>
      <c r="G17" s="231">
        <v>605.20000000000005</v>
      </c>
      <c r="H17" s="231">
        <v>211.7</v>
      </c>
      <c r="I17" s="231">
        <v>144</v>
      </c>
      <c r="J17" s="231">
        <v>121.1</v>
      </c>
      <c r="K17" s="231">
        <v>100.7</v>
      </c>
      <c r="L17" s="231">
        <v>207.5</v>
      </c>
      <c r="M17" s="231">
        <v>678.5</v>
      </c>
      <c r="N17" s="231">
        <v>1050.7</v>
      </c>
      <c r="O17" s="53">
        <f t="shared" si="0"/>
        <v>9581.7000000000007</v>
      </c>
    </row>
    <row r="18" spans="1:15">
      <c r="A18" s="231"/>
      <c r="B18" s="288" t="s">
        <v>31</v>
      </c>
      <c r="C18" s="231">
        <v>21914.129099999998</v>
      </c>
      <c r="D18" s="231">
        <v>27478.699699999997</v>
      </c>
      <c r="E18" s="231">
        <v>23247.875499999998</v>
      </c>
      <c r="F18" s="231">
        <v>12564.4611</v>
      </c>
      <c r="G18" s="231">
        <v>8633.8816999999999</v>
      </c>
      <c r="H18" s="231">
        <v>3518.5391</v>
      </c>
      <c r="I18" s="231">
        <v>3432.9665</v>
      </c>
      <c r="J18" s="231">
        <v>2888.5473999999999</v>
      </c>
      <c r="K18" s="231">
        <v>2585.8995</v>
      </c>
      <c r="L18" s="231">
        <v>3153.7791999999999</v>
      </c>
      <c r="M18" s="231">
        <v>8444.2578000000012</v>
      </c>
      <c r="N18" s="231">
        <v>13141.0203</v>
      </c>
      <c r="O18" s="53">
        <f t="shared" si="0"/>
        <v>131004.0569</v>
      </c>
    </row>
    <row r="19" spans="1:15">
      <c r="A19" s="231"/>
      <c r="B19" s="288" t="s">
        <v>32</v>
      </c>
      <c r="C19" s="231">
        <v>2611.0026000000003</v>
      </c>
      <c r="D19" s="231">
        <v>2839.7265000000002</v>
      </c>
      <c r="E19" s="231">
        <v>2583.0906</v>
      </c>
      <c r="F19" s="231">
        <v>1405.9031</v>
      </c>
      <c r="G19" s="231">
        <v>533.39170000000001</v>
      </c>
      <c r="H19" s="231">
        <v>208.23590000000002</v>
      </c>
      <c r="I19" s="231">
        <v>160.5</v>
      </c>
      <c r="J19" s="231">
        <v>171</v>
      </c>
      <c r="K19" s="231">
        <v>149.19999999999999</v>
      </c>
      <c r="L19" s="231">
        <v>371.2</v>
      </c>
      <c r="M19" s="231">
        <v>1242</v>
      </c>
      <c r="N19" s="231">
        <v>2224.1999999999998</v>
      </c>
      <c r="O19" s="53">
        <f t="shared" si="0"/>
        <v>14499.450400000002</v>
      </c>
    </row>
    <row r="20" spans="1:15">
      <c r="A20" s="231"/>
      <c r="B20" s="288" t="s">
        <v>33</v>
      </c>
      <c r="C20" s="231">
        <v>801.9</v>
      </c>
      <c r="D20" s="231">
        <v>758.9</v>
      </c>
      <c r="E20" s="231">
        <v>531.20000000000005</v>
      </c>
      <c r="F20" s="231">
        <v>388.6</v>
      </c>
      <c r="G20" s="231">
        <v>121.9</v>
      </c>
      <c r="H20" s="231">
        <v>48.3</v>
      </c>
      <c r="I20" s="231">
        <v>48.9</v>
      </c>
      <c r="J20" s="231">
        <v>53.6</v>
      </c>
      <c r="K20" s="231">
        <v>59.7</v>
      </c>
      <c r="L20" s="231">
        <v>245.8</v>
      </c>
      <c r="M20" s="231">
        <v>439.7</v>
      </c>
      <c r="N20" s="231">
        <v>703</v>
      </c>
      <c r="O20" s="53">
        <f t="shared" si="0"/>
        <v>4201.5</v>
      </c>
    </row>
    <row r="21" spans="1:15">
      <c r="A21" s="231"/>
      <c r="B21" s="288" t="s">
        <v>34</v>
      </c>
      <c r="C21" s="231">
        <v>5254.8</v>
      </c>
      <c r="D21" s="231">
        <v>5378</v>
      </c>
      <c r="E21" s="231">
        <v>4001.8</v>
      </c>
      <c r="F21" s="231">
        <v>2109</v>
      </c>
      <c r="G21" s="231">
        <v>786</v>
      </c>
      <c r="H21" s="231">
        <v>546.79999999999995</v>
      </c>
      <c r="I21" s="231">
        <v>473.2</v>
      </c>
      <c r="J21" s="231">
        <v>488.2</v>
      </c>
      <c r="K21" s="231">
        <v>462.1</v>
      </c>
      <c r="L21" s="231">
        <v>1355</v>
      </c>
      <c r="M21" s="231">
        <v>1978.4</v>
      </c>
      <c r="N21" s="231">
        <v>4534.7</v>
      </c>
      <c r="O21" s="53">
        <f t="shared" si="0"/>
        <v>27368</v>
      </c>
    </row>
    <row r="22" spans="1:15">
      <c r="A22" s="231"/>
      <c r="B22" s="288" t="s">
        <v>35</v>
      </c>
      <c r="C22" s="231">
        <v>1273.3</v>
      </c>
      <c r="D22" s="231">
        <v>1049.3</v>
      </c>
      <c r="E22" s="231">
        <v>744.7</v>
      </c>
      <c r="F22" s="231">
        <v>536.79999999999995</v>
      </c>
      <c r="G22" s="231">
        <v>165.9</v>
      </c>
      <c r="H22" s="231">
        <v>80.3</v>
      </c>
      <c r="I22" s="231">
        <v>82.5</v>
      </c>
      <c r="J22" s="231">
        <v>72.900000000000006</v>
      </c>
      <c r="K22" s="231">
        <v>62.7</v>
      </c>
      <c r="L22" s="231">
        <v>302.3</v>
      </c>
      <c r="M22" s="231">
        <v>483.7</v>
      </c>
      <c r="N22" s="231">
        <v>1098.5</v>
      </c>
      <c r="O22" s="53">
        <f t="shared" si="0"/>
        <v>5952.9000000000005</v>
      </c>
    </row>
    <row r="23" spans="1:15">
      <c r="A23" s="231"/>
      <c r="B23" s="288" t="s">
        <v>36</v>
      </c>
      <c r="C23" s="231">
        <v>14188.2</v>
      </c>
      <c r="D23" s="231">
        <v>14398.9</v>
      </c>
      <c r="E23" s="231">
        <v>11269.5</v>
      </c>
      <c r="F23" s="231">
        <v>6876.3</v>
      </c>
      <c r="G23" s="231">
        <v>3209.6</v>
      </c>
      <c r="H23" s="231">
        <v>1271.2</v>
      </c>
      <c r="I23" s="231">
        <v>982.6</v>
      </c>
      <c r="J23" s="231">
        <v>1040.2</v>
      </c>
      <c r="K23" s="231">
        <v>850</v>
      </c>
      <c r="L23" s="231">
        <v>2459.4</v>
      </c>
      <c r="M23" s="231">
        <v>5931.7</v>
      </c>
      <c r="N23" s="231">
        <v>10198.9</v>
      </c>
      <c r="O23" s="53">
        <f t="shared" si="0"/>
        <v>72676.499999999985</v>
      </c>
    </row>
    <row r="24" spans="1:15">
      <c r="A24" s="231"/>
      <c r="B24" s="288" t="s">
        <v>37</v>
      </c>
      <c r="C24" s="231">
        <v>1404.6</v>
      </c>
      <c r="D24" s="231">
        <v>1116.2</v>
      </c>
      <c r="E24" s="231">
        <v>832.6</v>
      </c>
      <c r="F24" s="231">
        <v>665.2</v>
      </c>
      <c r="G24" s="231">
        <v>182.5</v>
      </c>
      <c r="H24" s="231">
        <v>86.5</v>
      </c>
      <c r="I24" s="231">
        <v>75.5</v>
      </c>
      <c r="J24" s="231">
        <v>86</v>
      </c>
      <c r="K24" s="231">
        <v>68.7</v>
      </c>
      <c r="L24" s="231">
        <v>318.3</v>
      </c>
      <c r="M24" s="231">
        <v>519.4</v>
      </c>
      <c r="N24" s="231">
        <v>996</v>
      </c>
      <c r="O24" s="53">
        <f t="shared" si="0"/>
        <v>6351.5</v>
      </c>
    </row>
    <row r="25" spans="1:15">
      <c r="A25" s="231"/>
      <c r="B25" s="288" t="s">
        <v>38</v>
      </c>
      <c r="C25" s="231">
        <v>11500.6</v>
      </c>
      <c r="D25" s="231">
        <v>14133.8</v>
      </c>
      <c r="E25" s="231">
        <v>11519.5</v>
      </c>
      <c r="F25" s="231">
        <v>6842.5</v>
      </c>
      <c r="G25" s="231">
        <v>3439.9</v>
      </c>
      <c r="H25" s="231">
        <v>1324.9</v>
      </c>
      <c r="I25" s="231">
        <v>844.9</v>
      </c>
      <c r="J25" s="231">
        <v>811.7</v>
      </c>
      <c r="K25" s="231">
        <v>726.5</v>
      </c>
      <c r="L25" s="231">
        <v>984.7</v>
      </c>
      <c r="M25" s="231">
        <v>4893.8</v>
      </c>
      <c r="N25" s="231">
        <v>7550.6</v>
      </c>
      <c r="O25" s="53">
        <f t="shared" si="0"/>
        <v>64573.4</v>
      </c>
    </row>
    <row r="26" spans="1:15">
      <c r="A26" s="231"/>
      <c r="B26" s="288" t="s">
        <v>39</v>
      </c>
      <c r="C26" s="231">
        <v>23639.856599999999</v>
      </c>
      <c r="D26" s="231">
        <v>26607.995699999999</v>
      </c>
      <c r="E26" s="231">
        <v>22611.493000000002</v>
      </c>
      <c r="F26" s="231">
        <v>12563.756099999999</v>
      </c>
      <c r="G26" s="231">
        <v>6547.8996999999999</v>
      </c>
      <c r="H26" s="231">
        <v>3064.6107000000002</v>
      </c>
      <c r="I26" s="231">
        <v>2472.1437999999998</v>
      </c>
      <c r="J26" s="231">
        <v>2053.7030999999997</v>
      </c>
      <c r="K26" s="231">
        <v>2169.0975999999996</v>
      </c>
      <c r="L26" s="231">
        <v>3999.4685000000004</v>
      </c>
      <c r="M26" s="231">
        <v>9631.3111000000008</v>
      </c>
      <c r="N26" s="231">
        <v>16449.401100000003</v>
      </c>
      <c r="O26" s="53">
        <f t="shared" si="0"/>
        <v>131810.73700000002</v>
      </c>
    </row>
    <row r="27" spans="1:15">
      <c r="A27" s="231"/>
      <c r="B27" s="288" t="s">
        <v>40</v>
      </c>
      <c r="C27" s="231">
        <v>1211</v>
      </c>
      <c r="D27" s="231">
        <v>1538</v>
      </c>
      <c r="E27" s="231">
        <v>1198.5</v>
      </c>
      <c r="F27" s="231">
        <v>735.9</v>
      </c>
      <c r="G27" s="231">
        <v>258.5</v>
      </c>
      <c r="H27" s="231">
        <v>110.9</v>
      </c>
      <c r="I27" s="231">
        <v>63.5</v>
      </c>
      <c r="J27" s="231">
        <v>72.3</v>
      </c>
      <c r="K27" s="231">
        <v>67.599999999999994</v>
      </c>
      <c r="L27" s="231">
        <v>141.6</v>
      </c>
      <c r="M27" s="231">
        <v>541.70000000000005</v>
      </c>
      <c r="N27" s="231">
        <v>885.8</v>
      </c>
      <c r="O27" s="53">
        <f t="shared" si="0"/>
        <v>6825.3</v>
      </c>
    </row>
    <row r="28" spans="1:15">
      <c r="A28" s="231"/>
      <c r="B28" s="288" t="s">
        <v>41</v>
      </c>
      <c r="C28" s="231">
        <v>14174.713</v>
      </c>
      <c r="D28" s="231">
        <v>12584.373799999999</v>
      </c>
      <c r="E28" s="231">
        <v>12437.381700000002</v>
      </c>
      <c r="F28" s="231">
        <v>6555.2519999999995</v>
      </c>
      <c r="G28" s="231">
        <v>2188.2905999999998</v>
      </c>
      <c r="H28" s="231">
        <v>1111.2234000000001</v>
      </c>
      <c r="I28" s="231">
        <v>919.15160000000003</v>
      </c>
      <c r="J28" s="231">
        <v>930.96359999999993</v>
      </c>
      <c r="K28" s="231">
        <v>807.38750000000005</v>
      </c>
      <c r="L28" s="231">
        <v>2614.5375000000004</v>
      </c>
      <c r="M28" s="231">
        <v>5679.7040999999999</v>
      </c>
      <c r="N28" s="231">
        <v>11395.373299999999</v>
      </c>
      <c r="O28" s="53">
        <f t="shared" si="0"/>
        <v>71398.352100000004</v>
      </c>
    </row>
    <row r="29" spans="1:15">
      <c r="A29" s="8"/>
      <c r="B29" s="9" t="s">
        <v>42</v>
      </c>
      <c r="C29" s="8">
        <v>195056.77059999996</v>
      </c>
      <c r="D29" s="8">
        <v>208207.7022</v>
      </c>
      <c r="E29" s="8">
        <v>169763.67170000001</v>
      </c>
      <c r="F29" s="8">
        <v>96971.573999999993</v>
      </c>
      <c r="G29" s="8">
        <v>46939.690399999992</v>
      </c>
      <c r="H29" s="8">
        <v>22529.885900000001</v>
      </c>
      <c r="I29" s="8">
        <v>19189.6754</v>
      </c>
      <c r="J29" s="8">
        <v>17897.876700000001</v>
      </c>
      <c r="K29" s="8">
        <v>16833.302799999998</v>
      </c>
      <c r="L29" s="8">
        <v>35656.364200000004</v>
      </c>
      <c r="M29" s="8">
        <v>80265.271100000013</v>
      </c>
      <c r="N29" s="8">
        <v>148386.22450000001</v>
      </c>
      <c r="O29" s="53">
        <f t="shared" si="0"/>
        <v>1057698.0094999997</v>
      </c>
    </row>
    <row r="30" spans="1:15">
      <c r="A30" s="231"/>
      <c r="B30" s="288"/>
      <c r="C30" s="231"/>
      <c r="D30" s="231"/>
      <c r="E30" s="231"/>
      <c r="F30" s="231"/>
      <c r="G30" s="231"/>
      <c r="H30" s="231"/>
      <c r="I30" s="231"/>
      <c r="J30" s="231"/>
      <c r="K30" s="231"/>
      <c r="L30" s="231"/>
      <c r="M30" s="231"/>
      <c r="N30" s="231"/>
      <c r="O30" s="53"/>
    </row>
    <row r="31" spans="1:15">
      <c r="A31" s="288" t="s">
        <v>43</v>
      </c>
      <c r="B31" s="288" t="s">
        <v>26</v>
      </c>
      <c r="C31" s="231">
        <v>36429.972200000004</v>
      </c>
      <c r="D31" s="231">
        <v>36990.074000000001</v>
      </c>
      <c r="E31" s="231">
        <v>30368.933799999999</v>
      </c>
      <c r="F31" s="231">
        <v>19135.053399999997</v>
      </c>
      <c r="G31" s="231">
        <v>11361.878699999999</v>
      </c>
      <c r="H31" s="231">
        <v>7995.4845999999998</v>
      </c>
      <c r="I31" s="231">
        <v>8099.9657999999999</v>
      </c>
      <c r="J31" s="231">
        <v>8027.6283999999996</v>
      </c>
      <c r="K31" s="231">
        <v>7197.7372999999998</v>
      </c>
      <c r="L31" s="231">
        <v>11079.842499999999</v>
      </c>
      <c r="M31" s="231">
        <v>17796.939699999999</v>
      </c>
      <c r="N31" s="231">
        <v>29497.013599999998</v>
      </c>
      <c r="O31" s="53">
        <f t="shared" si="0"/>
        <v>223980.524</v>
      </c>
    </row>
    <row r="32" spans="1:15">
      <c r="A32" s="231"/>
      <c r="B32" s="288" t="s">
        <v>27</v>
      </c>
      <c r="C32" s="231">
        <v>2224.8747000000003</v>
      </c>
      <c r="D32" s="231">
        <v>2006.6424000000002</v>
      </c>
      <c r="E32" s="231">
        <v>1262.9375</v>
      </c>
      <c r="F32" s="231">
        <v>922.12220000000002</v>
      </c>
      <c r="G32" s="231">
        <v>277.24700000000001</v>
      </c>
      <c r="H32" s="231">
        <v>167.18630000000002</v>
      </c>
      <c r="I32" s="231">
        <v>283.24799999999999</v>
      </c>
      <c r="J32" s="231">
        <v>414.05350000000004</v>
      </c>
      <c r="K32" s="231">
        <v>360.09379999999999</v>
      </c>
      <c r="L32" s="231">
        <v>694.35630000000003</v>
      </c>
      <c r="M32" s="231">
        <v>960.8623</v>
      </c>
      <c r="N32" s="231">
        <v>2291.7233000000001</v>
      </c>
      <c r="O32" s="53">
        <f t="shared" si="0"/>
        <v>11865.347300000001</v>
      </c>
    </row>
    <row r="33" spans="1:15">
      <c r="A33" s="231"/>
      <c r="B33" s="294" t="s">
        <v>28</v>
      </c>
      <c r="C33" s="293">
        <v>59615.078800000003</v>
      </c>
      <c r="D33" s="293">
        <v>62342.497700000007</v>
      </c>
      <c r="E33" s="293">
        <v>52020.748</v>
      </c>
      <c r="F33" s="293">
        <v>37640.168799999999</v>
      </c>
      <c r="G33" s="293">
        <v>21998.2929</v>
      </c>
      <c r="H33" s="293">
        <v>14688.573900000001</v>
      </c>
      <c r="I33" s="293">
        <v>13506.171699999999</v>
      </c>
      <c r="J33" s="293">
        <v>13892.954</v>
      </c>
      <c r="K33" s="293">
        <v>15470.269</v>
      </c>
      <c r="L33" s="293">
        <v>23051.412100000001</v>
      </c>
      <c r="M33" s="293">
        <v>34850.851999999999</v>
      </c>
      <c r="N33" s="293">
        <v>56253.834900000002</v>
      </c>
      <c r="O33" s="54">
        <f t="shared" si="0"/>
        <v>405330.85380000004</v>
      </c>
    </row>
    <row r="34" spans="1:15">
      <c r="A34" s="231"/>
      <c r="B34" s="288" t="s">
        <v>29</v>
      </c>
      <c r="C34" s="231">
        <v>53483.347000000002</v>
      </c>
      <c r="D34" s="231">
        <v>54254.578599999993</v>
      </c>
      <c r="E34" s="231">
        <v>39017.0095</v>
      </c>
      <c r="F34" s="231">
        <v>23989.7821</v>
      </c>
      <c r="G34" s="231">
        <v>12959.36</v>
      </c>
      <c r="H34" s="231">
        <v>9014.3578999999991</v>
      </c>
      <c r="I34" s="231">
        <v>9186.2206000000006</v>
      </c>
      <c r="J34" s="231">
        <v>8589.0983999999989</v>
      </c>
      <c r="K34" s="231">
        <v>7802.5014999999994</v>
      </c>
      <c r="L34" s="231">
        <v>12023.014800000001</v>
      </c>
      <c r="M34" s="231">
        <v>25760.199199999999</v>
      </c>
      <c r="N34" s="231">
        <v>43248.857000000004</v>
      </c>
      <c r="O34" s="53">
        <f t="shared" si="0"/>
        <v>299328.32660000003</v>
      </c>
    </row>
    <row r="35" spans="1:15">
      <c r="A35" s="231"/>
      <c r="B35" s="288" t="s">
        <v>30</v>
      </c>
      <c r="C35" s="231">
        <v>3623.2356</v>
      </c>
      <c r="D35" s="231">
        <v>5483.1646999999994</v>
      </c>
      <c r="E35" s="231">
        <v>4312.6316999999999</v>
      </c>
      <c r="F35" s="231">
        <v>1643.8107</v>
      </c>
      <c r="G35" s="231">
        <v>1204.4328</v>
      </c>
      <c r="H35" s="231">
        <v>469.87849999999997</v>
      </c>
      <c r="I35" s="231">
        <v>407.16759999999999</v>
      </c>
      <c r="J35" s="231">
        <v>399.03750000000002</v>
      </c>
      <c r="K35" s="231">
        <v>509.61630000000002</v>
      </c>
      <c r="L35" s="231">
        <v>604.32339999999999</v>
      </c>
      <c r="M35" s="231">
        <v>1360.797</v>
      </c>
      <c r="N35" s="231">
        <v>1978.7383</v>
      </c>
      <c r="O35" s="53">
        <f t="shared" si="0"/>
        <v>21996.8341</v>
      </c>
    </row>
    <row r="36" spans="1:15">
      <c r="A36" s="231"/>
      <c r="B36" s="288" t="s">
        <v>31</v>
      </c>
      <c r="C36" s="231">
        <v>33228.540800000002</v>
      </c>
      <c r="D36" s="231">
        <v>43021.940399999992</v>
      </c>
      <c r="E36" s="231">
        <v>35031.143499999998</v>
      </c>
      <c r="F36" s="231">
        <v>20145.457899999998</v>
      </c>
      <c r="G36" s="231">
        <v>14254.086099999999</v>
      </c>
      <c r="H36" s="231">
        <v>7873.8266000000003</v>
      </c>
      <c r="I36" s="231">
        <v>7477.527900000001</v>
      </c>
      <c r="J36" s="231">
        <v>6993.6410999999998</v>
      </c>
      <c r="K36" s="231">
        <v>6407.7433000000001</v>
      </c>
      <c r="L36" s="231">
        <v>7043.9379999999992</v>
      </c>
      <c r="M36" s="231">
        <v>14572.067500000001</v>
      </c>
      <c r="N36" s="231">
        <v>21804.746299999999</v>
      </c>
      <c r="O36" s="53">
        <f t="shared" si="0"/>
        <v>217854.6594</v>
      </c>
    </row>
    <row r="37" spans="1:15">
      <c r="A37" s="231"/>
      <c r="B37" s="288" t="s">
        <v>32</v>
      </c>
      <c r="C37" s="231">
        <v>13544.7541</v>
      </c>
      <c r="D37" s="231">
        <v>13421.902899999999</v>
      </c>
      <c r="E37" s="231">
        <v>14632.398799999999</v>
      </c>
      <c r="F37" s="231">
        <v>6748.0856000000003</v>
      </c>
      <c r="G37" s="231">
        <v>4839.2224999999999</v>
      </c>
      <c r="H37" s="231">
        <v>2501.8991000000001</v>
      </c>
      <c r="I37" s="231">
        <v>3413.9929000000002</v>
      </c>
      <c r="J37" s="231">
        <v>3200.0893999999998</v>
      </c>
      <c r="K37" s="231">
        <v>2842.96</v>
      </c>
      <c r="L37" s="231">
        <v>3940.4249</v>
      </c>
      <c r="M37" s="231">
        <v>7331.1140999999998</v>
      </c>
      <c r="N37" s="231">
        <v>11574.8122</v>
      </c>
      <c r="O37" s="53">
        <f t="shared" si="0"/>
        <v>87991.656499999997</v>
      </c>
    </row>
    <row r="38" spans="1:15">
      <c r="A38" s="231"/>
      <c r="B38" s="288" t="s">
        <v>33</v>
      </c>
      <c r="C38" s="231">
        <v>1895.0898999999999</v>
      </c>
      <c r="D38" s="231">
        <v>1730.3274000000001</v>
      </c>
      <c r="E38" s="231">
        <v>1321.5462</v>
      </c>
      <c r="F38" s="231">
        <v>1148.5965999999999</v>
      </c>
      <c r="G38" s="231">
        <v>643.35300000000007</v>
      </c>
      <c r="H38" s="231">
        <v>366.80410000000001</v>
      </c>
      <c r="I38" s="231">
        <v>432.72750000000002</v>
      </c>
      <c r="J38" s="231">
        <v>485.48950000000002</v>
      </c>
      <c r="K38" s="231">
        <v>663.84680000000003</v>
      </c>
      <c r="L38" s="231">
        <v>927.19560000000001</v>
      </c>
      <c r="M38" s="231">
        <v>1574.1462000000001</v>
      </c>
      <c r="N38" s="231">
        <v>1625.2221999999999</v>
      </c>
      <c r="O38" s="53">
        <f t="shared" si="0"/>
        <v>12814.344999999998</v>
      </c>
    </row>
    <row r="39" spans="1:15">
      <c r="A39" s="231"/>
      <c r="B39" s="288" t="s">
        <v>34</v>
      </c>
      <c r="C39" s="231">
        <v>8134.4140000000007</v>
      </c>
      <c r="D39" s="231">
        <v>7122.5064000000002</v>
      </c>
      <c r="E39" s="231">
        <v>6114.8359999999993</v>
      </c>
      <c r="F39" s="231">
        <v>3156.2765999999997</v>
      </c>
      <c r="G39" s="231">
        <v>1467.9592</v>
      </c>
      <c r="H39" s="231">
        <v>1072.3526999999999</v>
      </c>
      <c r="I39" s="231">
        <v>894.21440000000007</v>
      </c>
      <c r="J39" s="231">
        <v>971.87839999999994</v>
      </c>
      <c r="K39" s="231">
        <v>929.72540000000004</v>
      </c>
      <c r="L39" s="231">
        <v>1984.0880000000002</v>
      </c>
      <c r="M39" s="231">
        <v>2815.3967000000002</v>
      </c>
      <c r="N39" s="231">
        <v>6991.0583000000006</v>
      </c>
      <c r="O39" s="53">
        <f t="shared" si="0"/>
        <v>41654.706099999996</v>
      </c>
    </row>
    <row r="40" spans="1:15">
      <c r="A40" s="231"/>
      <c r="B40" s="288" t="s">
        <v>35</v>
      </c>
      <c r="C40" s="231">
        <v>1724.8418999999999</v>
      </c>
      <c r="D40" s="231">
        <v>1680.982</v>
      </c>
      <c r="E40" s="231">
        <v>1086.3717000000001</v>
      </c>
      <c r="F40" s="231">
        <v>800.99329999999998</v>
      </c>
      <c r="G40" s="231">
        <v>469.97530000000006</v>
      </c>
      <c r="H40" s="231">
        <v>362.23790000000002</v>
      </c>
      <c r="I40" s="231">
        <v>408.24090000000001</v>
      </c>
      <c r="J40" s="231">
        <v>409.15340000000003</v>
      </c>
      <c r="K40" s="231">
        <v>364.22540000000004</v>
      </c>
      <c r="L40" s="231">
        <v>566.83620000000008</v>
      </c>
      <c r="M40" s="231">
        <v>787.7043000000001</v>
      </c>
      <c r="N40" s="231">
        <v>1616.6549</v>
      </c>
      <c r="O40" s="53">
        <f t="shared" si="0"/>
        <v>10278.217199999999</v>
      </c>
    </row>
    <row r="41" spans="1:15">
      <c r="A41" s="231"/>
      <c r="B41" s="288" t="s">
        <v>36</v>
      </c>
      <c r="C41" s="231">
        <v>20046.8397</v>
      </c>
      <c r="D41" s="231">
        <v>19922.169900000001</v>
      </c>
      <c r="E41" s="231">
        <v>15360.616299999998</v>
      </c>
      <c r="F41" s="231">
        <v>10197.0892</v>
      </c>
      <c r="G41" s="231">
        <v>6243.4358000000002</v>
      </c>
      <c r="H41" s="231">
        <v>4078.3017</v>
      </c>
      <c r="I41" s="231">
        <v>3770.0243</v>
      </c>
      <c r="J41" s="231">
        <v>4056.7076999999999</v>
      </c>
      <c r="K41" s="231">
        <v>3262.8314</v>
      </c>
      <c r="L41" s="231">
        <v>4832.2831999999999</v>
      </c>
      <c r="M41" s="231">
        <v>9208.6417999999994</v>
      </c>
      <c r="N41" s="231">
        <v>13848.890299999999</v>
      </c>
      <c r="O41" s="53">
        <f t="shared" si="0"/>
        <v>114827.83130000001</v>
      </c>
    </row>
    <row r="42" spans="1:15">
      <c r="A42" s="231"/>
      <c r="B42" s="288" t="s">
        <v>37</v>
      </c>
      <c r="C42" s="231">
        <v>2641.4795999999997</v>
      </c>
      <c r="D42" s="231">
        <v>2255.9312</v>
      </c>
      <c r="E42" s="231">
        <v>1568.6207999999999</v>
      </c>
      <c r="F42" s="231">
        <v>1095.6547</v>
      </c>
      <c r="G42" s="231">
        <v>619.07909999999993</v>
      </c>
      <c r="H42" s="231">
        <v>485.80360000000002</v>
      </c>
      <c r="I42" s="231">
        <v>479.66770000000002</v>
      </c>
      <c r="J42" s="231">
        <v>553.20360000000005</v>
      </c>
      <c r="K42" s="231">
        <v>474.0557</v>
      </c>
      <c r="L42" s="231">
        <v>705.09109999999998</v>
      </c>
      <c r="M42" s="231">
        <v>1082.0510999999999</v>
      </c>
      <c r="N42" s="231">
        <v>1909.1395</v>
      </c>
      <c r="O42" s="53">
        <f t="shared" si="0"/>
        <v>13869.777700000001</v>
      </c>
    </row>
    <row r="43" spans="1:15">
      <c r="A43" s="231"/>
      <c r="B43" s="288" t="s">
        <v>38</v>
      </c>
      <c r="C43" s="231">
        <v>12593.708200000001</v>
      </c>
      <c r="D43" s="231">
        <v>15938.108899999999</v>
      </c>
      <c r="E43" s="231">
        <v>12247.695300000001</v>
      </c>
      <c r="F43" s="231">
        <v>7650.3769999999995</v>
      </c>
      <c r="G43" s="231">
        <v>5535.5656999999992</v>
      </c>
      <c r="H43" s="231">
        <v>3469.5047</v>
      </c>
      <c r="I43" s="231">
        <v>3018.4038999999998</v>
      </c>
      <c r="J43" s="231">
        <v>3060.0428000000002</v>
      </c>
      <c r="K43" s="231">
        <v>2904.1961000000001</v>
      </c>
      <c r="L43" s="231">
        <v>2867.7780000000002</v>
      </c>
      <c r="M43" s="231">
        <v>6942.1311000000005</v>
      </c>
      <c r="N43" s="231">
        <v>8479.7119999999995</v>
      </c>
      <c r="O43" s="53">
        <f t="shared" si="0"/>
        <v>84707.223700000002</v>
      </c>
    </row>
    <row r="44" spans="1:15">
      <c r="A44" s="231"/>
      <c r="B44" s="288" t="s">
        <v>39</v>
      </c>
      <c r="C44" s="231">
        <v>26278.352299999999</v>
      </c>
      <c r="D44" s="231">
        <v>27473.758399999999</v>
      </c>
      <c r="E44" s="231">
        <v>23512.157300000003</v>
      </c>
      <c r="F44" s="231">
        <v>16403.3446</v>
      </c>
      <c r="G44" s="231">
        <v>10674.6793</v>
      </c>
      <c r="H44" s="231">
        <v>7949.5644000000002</v>
      </c>
      <c r="I44" s="231">
        <v>7746.2084999999997</v>
      </c>
      <c r="J44" s="231">
        <v>7373.1025999999993</v>
      </c>
      <c r="K44" s="231">
        <v>8272.5025999999998</v>
      </c>
      <c r="L44" s="231">
        <v>9738.9053999999996</v>
      </c>
      <c r="M44" s="231">
        <v>14344.8161</v>
      </c>
      <c r="N44" s="231">
        <v>20280.665700000001</v>
      </c>
      <c r="O44" s="53">
        <f t="shared" si="0"/>
        <v>180048.05719999998</v>
      </c>
    </row>
    <row r="45" spans="1:15">
      <c r="A45" s="231"/>
      <c r="B45" s="288" t="s">
        <v>40</v>
      </c>
      <c r="C45" s="231">
        <v>3295.7044999999998</v>
      </c>
      <c r="D45" s="231">
        <v>3893.9279999999999</v>
      </c>
      <c r="E45" s="231">
        <v>3884.6803</v>
      </c>
      <c r="F45" s="231">
        <v>1142.4454000000001</v>
      </c>
      <c r="G45" s="231">
        <v>637.88580000000002</v>
      </c>
      <c r="H45" s="231">
        <v>410.54399999999998</v>
      </c>
      <c r="I45" s="231">
        <v>249.0581</v>
      </c>
      <c r="J45" s="231">
        <v>268.90469999999999</v>
      </c>
      <c r="K45" s="231">
        <v>244.25229999999999</v>
      </c>
      <c r="L45" s="231">
        <v>558.37040000000002</v>
      </c>
      <c r="M45" s="231">
        <v>1395.2232000000001</v>
      </c>
      <c r="N45" s="231">
        <v>2195.1345999999999</v>
      </c>
      <c r="O45" s="53">
        <f t="shared" si="0"/>
        <v>18176.131300000001</v>
      </c>
    </row>
    <row r="46" spans="1:15">
      <c r="A46" s="231"/>
      <c r="B46" s="288" t="s">
        <v>41</v>
      </c>
      <c r="C46" s="231">
        <v>33589.366500000004</v>
      </c>
      <c r="D46" s="231">
        <v>30031.275000000001</v>
      </c>
      <c r="E46" s="231">
        <v>29099.9833</v>
      </c>
      <c r="F46" s="231">
        <v>17003.703399999999</v>
      </c>
      <c r="G46" s="231">
        <v>9094.8042999999998</v>
      </c>
      <c r="H46" s="231">
        <v>7333.7376999999988</v>
      </c>
      <c r="I46" s="231">
        <v>6833.6944000000003</v>
      </c>
      <c r="J46" s="231">
        <v>7268.3042000000005</v>
      </c>
      <c r="K46" s="231">
        <v>6690.9970000000003</v>
      </c>
      <c r="L46" s="231">
        <v>10059.915999999999</v>
      </c>
      <c r="M46" s="231">
        <v>17117.858200000002</v>
      </c>
      <c r="N46" s="231">
        <v>28336.0144</v>
      </c>
      <c r="O46" s="53">
        <f t="shared" si="0"/>
        <v>202459.6544</v>
      </c>
    </row>
    <row r="47" spans="1:15">
      <c r="A47" s="8"/>
      <c r="B47" s="9" t="s">
        <v>42</v>
      </c>
      <c r="C47" s="8">
        <v>312349.59979999997</v>
      </c>
      <c r="D47" s="8">
        <v>327569.7879</v>
      </c>
      <c r="E47" s="8">
        <v>270842.31</v>
      </c>
      <c r="F47" s="8">
        <v>168822.96149999998</v>
      </c>
      <c r="G47" s="8">
        <v>102281.25749999999</v>
      </c>
      <c r="H47" s="8">
        <v>68240.057700000005</v>
      </c>
      <c r="I47" s="8">
        <v>66206.534200000009</v>
      </c>
      <c r="J47" s="8">
        <v>65963.289199999999</v>
      </c>
      <c r="K47" s="8">
        <v>64397.553899999999</v>
      </c>
      <c r="L47" s="8">
        <v>90677.775900000008</v>
      </c>
      <c r="M47" s="8">
        <v>157900.80050000001</v>
      </c>
      <c r="N47" s="8">
        <v>251932.21749999997</v>
      </c>
      <c r="O47" s="53">
        <f t="shared" si="0"/>
        <v>1947184.1456000002</v>
      </c>
    </row>
    <row r="48" spans="1:15">
      <c r="A48" s="231"/>
      <c r="B48" s="288"/>
      <c r="C48" s="231"/>
      <c r="D48" s="231"/>
      <c r="E48" s="231"/>
      <c r="F48" s="231"/>
      <c r="G48" s="231"/>
      <c r="H48" s="231"/>
      <c r="I48" s="231"/>
      <c r="J48" s="231"/>
      <c r="K48" s="231"/>
      <c r="L48" s="231"/>
      <c r="M48" s="231"/>
      <c r="N48" s="231"/>
      <c r="O48" s="53"/>
    </row>
    <row r="49" spans="1:15">
      <c r="A49" s="288" t="s">
        <v>44</v>
      </c>
      <c r="B49" s="288" t="s">
        <v>26</v>
      </c>
      <c r="C49" s="231">
        <v>8726.6299999999992</v>
      </c>
      <c r="D49" s="231">
        <v>9414.9177999999993</v>
      </c>
      <c r="E49" s="231">
        <v>6278.6297999999997</v>
      </c>
      <c r="F49" s="231">
        <v>4407.9250000000002</v>
      </c>
      <c r="G49" s="231">
        <v>3464.6761000000001</v>
      </c>
      <c r="H49" s="231">
        <v>4021.7442000000001</v>
      </c>
      <c r="I49" s="231">
        <v>3475.4861000000001</v>
      </c>
      <c r="J49" s="231">
        <v>3135.0897</v>
      </c>
      <c r="K49" s="231">
        <v>2965.8398000000002</v>
      </c>
      <c r="L49" s="231">
        <v>3527.8287</v>
      </c>
      <c r="M49" s="231">
        <v>3434.4308999999998</v>
      </c>
      <c r="N49" s="231">
        <v>8183.7192999999997</v>
      </c>
      <c r="O49" s="53">
        <f t="shared" si="0"/>
        <v>61036.917399999991</v>
      </c>
    </row>
    <row r="50" spans="1:15">
      <c r="A50" s="231"/>
      <c r="B50" s="288" t="s">
        <v>27</v>
      </c>
      <c r="C50" s="231">
        <v>9513</v>
      </c>
      <c r="D50" s="231">
        <v>8999.7999999999993</v>
      </c>
      <c r="E50" s="231">
        <v>4969.7</v>
      </c>
      <c r="F50" s="231">
        <v>3726.6</v>
      </c>
      <c r="G50" s="231">
        <v>940.2</v>
      </c>
      <c r="H50" s="231">
        <v>283</v>
      </c>
      <c r="I50" s="231">
        <v>282</v>
      </c>
      <c r="J50" s="231">
        <v>312</v>
      </c>
      <c r="K50" s="231">
        <v>437</v>
      </c>
      <c r="L50" s="231">
        <v>1623.7</v>
      </c>
      <c r="M50" s="231">
        <v>6355</v>
      </c>
      <c r="N50" s="231">
        <v>9521</v>
      </c>
      <c r="O50" s="53">
        <f t="shared" si="0"/>
        <v>46963</v>
      </c>
    </row>
    <row r="51" spans="1:15">
      <c r="A51" s="231"/>
      <c r="B51" s="294" t="s">
        <v>28</v>
      </c>
      <c r="C51" s="293">
        <v>13320.6168</v>
      </c>
      <c r="D51" s="293">
        <v>13116.5977</v>
      </c>
      <c r="E51" s="293">
        <v>13646.603800000001</v>
      </c>
      <c r="F51" s="293">
        <v>15649.898300000001</v>
      </c>
      <c r="G51" s="293">
        <v>12811.988600000001</v>
      </c>
      <c r="H51" s="293">
        <v>15960.753700000001</v>
      </c>
      <c r="I51" s="293">
        <v>18206.7107</v>
      </c>
      <c r="J51" s="293">
        <v>18848.5782</v>
      </c>
      <c r="K51" s="293">
        <v>21794.963599999999</v>
      </c>
      <c r="L51" s="293">
        <v>17477.3835</v>
      </c>
      <c r="M51" s="293">
        <v>22199.486700000001</v>
      </c>
      <c r="N51" s="293">
        <v>18861</v>
      </c>
      <c r="O51" s="54">
        <f t="shared" si="0"/>
        <v>201894.5816</v>
      </c>
    </row>
    <row r="52" spans="1:15">
      <c r="A52" s="231"/>
      <c r="B52" s="288" t="s">
        <v>29</v>
      </c>
      <c r="C52" s="231">
        <v>20371.543399999999</v>
      </c>
      <c r="D52" s="231">
        <v>18301.114099999999</v>
      </c>
      <c r="E52" s="231">
        <v>15301.0016</v>
      </c>
      <c r="F52" s="231">
        <v>13628.314999999999</v>
      </c>
      <c r="G52" s="231">
        <v>13242.670600000001</v>
      </c>
      <c r="H52" s="231">
        <v>7561.9832000000006</v>
      </c>
      <c r="I52" s="231">
        <v>13394.631600000001</v>
      </c>
      <c r="J52" s="231">
        <v>8352.075499999999</v>
      </c>
      <c r="K52" s="231">
        <v>7555.9616000000005</v>
      </c>
      <c r="L52" s="231">
        <v>10740.108700000001</v>
      </c>
      <c r="M52" s="231">
        <v>13771.0247</v>
      </c>
      <c r="N52" s="231">
        <v>16948.712599999999</v>
      </c>
      <c r="O52" s="53">
        <f t="shared" si="0"/>
        <v>159169.14260000002</v>
      </c>
    </row>
    <row r="53" spans="1:15">
      <c r="A53" s="231"/>
      <c r="B53" s="288" t="s">
        <v>30</v>
      </c>
      <c r="C53" s="231">
        <v>6794.7553999999991</v>
      </c>
      <c r="D53" s="231">
        <v>1844.9286999999999</v>
      </c>
      <c r="E53" s="231">
        <v>3078.5860000000002</v>
      </c>
      <c r="F53" s="231">
        <v>2443.0650000000001</v>
      </c>
      <c r="G53" s="231">
        <v>2094.2654000000002</v>
      </c>
      <c r="H53" s="231">
        <v>1619.8912</v>
      </c>
      <c r="I53" s="231">
        <v>1422.0378999999998</v>
      </c>
      <c r="J53" s="231">
        <v>1432.9871000000003</v>
      </c>
      <c r="K53" s="231">
        <v>1446.7276999999999</v>
      </c>
      <c r="L53" s="231">
        <v>1735.8539999999998</v>
      </c>
      <c r="M53" s="231">
        <v>3167.5156000000002</v>
      </c>
      <c r="N53" s="231">
        <v>4179.2546999999995</v>
      </c>
      <c r="O53" s="53">
        <f t="shared" si="0"/>
        <v>31259.868699999999</v>
      </c>
    </row>
    <row r="54" spans="1:15">
      <c r="A54" s="231"/>
      <c r="B54" s="288" t="s">
        <v>31</v>
      </c>
      <c r="C54" s="231">
        <v>48189.162600000003</v>
      </c>
      <c r="D54" s="231">
        <v>53616.842700000001</v>
      </c>
      <c r="E54" s="231">
        <v>42144.168400000002</v>
      </c>
      <c r="F54" s="231">
        <v>46865.1345</v>
      </c>
      <c r="G54" s="231">
        <v>45340.715400000001</v>
      </c>
      <c r="H54" s="231">
        <v>43399.2791</v>
      </c>
      <c r="I54" s="231">
        <v>41558.1276</v>
      </c>
      <c r="J54" s="231">
        <v>43159.335899999998</v>
      </c>
      <c r="K54" s="231">
        <v>45555.783900000002</v>
      </c>
      <c r="L54" s="231">
        <v>43633.115599999997</v>
      </c>
      <c r="M54" s="231">
        <v>49781.8966</v>
      </c>
      <c r="N54" s="231">
        <v>47435.201300000001</v>
      </c>
      <c r="O54" s="53">
        <f t="shared" si="0"/>
        <v>550678.76359999995</v>
      </c>
    </row>
    <row r="55" spans="1:15">
      <c r="A55" s="231"/>
      <c r="B55" s="288" t="s">
        <v>32</v>
      </c>
      <c r="C55" s="231">
        <v>24236.894700000001</v>
      </c>
      <c r="D55" s="231">
        <v>17416.02</v>
      </c>
      <c r="E55" s="231">
        <v>13224.486499999999</v>
      </c>
      <c r="F55" s="231">
        <v>8375.4588000000003</v>
      </c>
      <c r="G55" s="231">
        <v>4702.7767999999996</v>
      </c>
      <c r="H55" s="231">
        <v>2699.4552000000003</v>
      </c>
      <c r="I55" s="231">
        <v>5011.4166000000005</v>
      </c>
      <c r="J55" s="231">
        <v>3446.7795000000001</v>
      </c>
      <c r="K55" s="231">
        <v>3872.4701</v>
      </c>
      <c r="L55" s="231">
        <v>8061.7633000000005</v>
      </c>
      <c r="M55" s="231">
        <v>10719.042300000001</v>
      </c>
      <c r="N55" s="231">
        <v>18277.064899999998</v>
      </c>
      <c r="O55" s="53">
        <f t="shared" si="0"/>
        <v>120043.62870000002</v>
      </c>
    </row>
    <row r="56" spans="1:15">
      <c r="A56" s="231"/>
      <c r="B56" s="288" t="s">
        <v>33</v>
      </c>
      <c r="C56" s="288" t="s">
        <v>45</v>
      </c>
      <c r="D56" s="288" t="s">
        <v>45</v>
      </c>
      <c r="E56" s="288" t="s">
        <v>45</v>
      </c>
      <c r="F56" s="288" t="s">
        <v>45</v>
      </c>
      <c r="G56" s="288" t="s">
        <v>45</v>
      </c>
      <c r="H56" s="288" t="s">
        <v>45</v>
      </c>
      <c r="I56" s="288" t="s">
        <v>45</v>
      </c>
      <c r="J56" s="288" t="s">
        <v>45</v>
      </c>
      <c r="K56" s="288" t="s">
        <v>45</v>
      </c>
      <c r="L56" s="288" t="s">
        <v>45</v>
      </c>
      <c r="M56" s="288" t="s">
        <v>45</v>
      </c>
      <c r="N56" s="288" t="s">
        <v>45</v>
      </c>
      <c r="O56" s="53">
        <f t="shared" si="0"/>
        <v>0</v>
      </c>
    </row>
    <row r="57" spans="1:15">
      <c r="A57" s="231"/>
      <c r="B57" s="288" t="s">
        <v>34</v>
      </c>
      <c r="C57" s="288" t="s">
        <v>45</v>
      </c>
      <c r="D57" s="288" t="s">
        <v>45</v>
      </c>
      <c r="E57" s="288" t="s">
        <v>45</v>
      </c>
      <c r="F57" s="288" t="s">
        <v>45</v>
      </c>
      <c r="G57" s="288" t="s">
        <v>45</v>
      </c>
      <c r="H57" s="288" t="s">
        <v>45</v>
      </c>
      <c r="I57" s="288" t="s">
        <v>45</v>
      </c>
      <c r="J57" s="288" t="s">
        <v>45</v>
      </c>
      <c r="K57" s="288" t="s">
        <v>45</v>
      </c>
      <c r="L57" s="288" t="s">
        <v>45</v>
      </c>
      <c r="M57" s="288" t="s">
        <v>45</v>
      </c>
      <c r="N57" s="288" t="s">
        <v>45</v>
      </c>
      <c r="O57" s="53">
        <f t="shared" si="0"/>
        <v>0</v>
      </c>
    </row>
    <row r="58" spans="1:15">
      <c r="A58" s="231"/>
      <c r="B58" s="288" t="s">
        <v>35</v>
      </c>
      <c r="C58" s="231">
        <v>2254.5924999999997</v>
      </c>
      <c r="D58" s="231">
        <v>2172.9974999999999</v>
      </c>
      <c r="E58" s="231">
        <v>829.07560000000001</v>
      </c>
      <c r="F58" s="231">
        <v>377.49959999999999</v>
      </c>
      <c r="G58" s="231">
        <v>18.762599999999999</v>
      </c>
      <c r="H58" s="231">
        <v>11.2</v>
      </c>
      <c r="I58" s="288" t="s">
        <v>45</v>
      </c>
      <c r="J58" s="288" t="s">
        <v>45</v>
      </c>
      <c r="K58" s="231">
        <v>0.4</v>
      </c>
      <c r="L58" s="231">
        <v>85.2453</v>
      </c>
      <c r="M58" s="231">
        <v>226.36410000000001</v>
      </c>
      <c r="N58" s="231">
        <v>1573.3783000000001</v>
      </c>
      <c r="O58" s="53">
        <f t="shared" si="0"/>
        <v>7549.5154999999995</v>
      </c>
    </row>
    <row r="59" spans="1:15">
      <c r="A59" s="231"/>
      <c r="B59" s="288" t="s">
        <v>36</v>
      </c>
      <c r="C59" s="231">
        <v>24985.567299999999</v>
      </c>
      <c r="D59" s="231">
        <v>23504.446199999998</v>
      </c>
      <c r="E59" s="231">
        <v>21653.8534</v>
      </c>
      <c r="F59" s="231">
        <v>18388.4512</v>
      </c>
      <c r="G59" s="231">
        <v>16747.8027</v>
      </c>
      <c r="H59" s="231">
        <v>14105.718000000001</v>
      </c>
      <c r="I59" s="231">
        <v>14156.844800000001</v>
      </c>
      <c r="J59" s="231">
        <v>15127.7775</v>
      </c>
      <c r="K59" s="231">
        <v>13517.705</v>
      </c>
      <c r="L59" s="231">
        <v>15507.179899999999</v>
      </c>
      <c r="M59" s="231">
        <v>17441.054499999998</v>
      </c>
      <c r="N59" s="231">
        <v>25959.623899999999</v>
      </c>
      <c r="O59" s="53">
        <f t="shared" si="0"/>
        <v>221096.02439999997</v>
      </c>
    </row>
    <row r="60" spans="1:15">
      <c r="A60" s="231"/>
      <c r="B60" s="288" t="s">
        <v>37</v>
      </c>
      <c r="C60" s="288" t="s">
        <v>45</v>
      </c>
      <c r="D60" s="288" t="s">
        <v>45</v>
      </c>
      <c r="E60" s="288" t="s">
        <v>45</v>
      </c>
      <c r="F60" s="288" t="s">
        <v>45</v>
      </c>
      <c r="G60" s="288" t="s">
        <v>45</v>
      </c>
      <c r="H60" s="288" t="s">
        <v>45</v>
      </c>
      <c r="I60" s="288" t="s">
        <v>45</v>
      </c>
      <c r="J60" s="288" t="s">
        <v>45</v>
      </c>
      <c r="K60" s="288" t="s">
        <v>45</v>
      </c>
      <c r="L60" s="288" t="s">
        <v>45</v>
      </c>
      <c r="M60" s="288" t="s">
        <v>45</v>
      </c>
      <c r="N60" s="288" t="s">
        <v>45</v>
      </c>
      <c r="O60" s="53">
        <f t="shared" si="0"/>
        <v>0</v>
      </c>
    </row>
    <row r="61" spans="1:15">
      <c r="A61" s="231"/>
      <c r="B61" s="288" t="s">
        <v>38</v>
      </c>
      <c r="C61" s="231">
        <v>8318.0587000000014</v>
      </c>
      <c r="D61" s="231">
        <v>8211.413700000001</v>
      </c>
      <c r="E61" s="231">
        <v>7082.5464999999995</v>
      </c>
      <c r="F61" s="231">
        <v>5439.6192000000001</v>
      </c>
      <c r="G61" s="231">
        <v>3124.6188999999999</v>
      </c>
      <c r="H61" s="231">
        <v>2560.5373</v>
      </c>
      <c r="I61" s="231">
        <v>2212.2206999999999</v>
      </c>
      <c r="J61" s="231">
        <v>1808.7276000000002</v>
      </c>
      <c r="K61" s="231">
        <v>1994.6628000000001</v>
      </c>
      <c r="L61" s="231">
        <v>2358.5814</v>
      </c>
      <c r="M61" s="231">
        <v>4315.5174000000006</v>
      </c>
      <c r="N61" s="231">
        <v>5633.5054</v>
      </c>
      <c r="O61" s="53">
        <f t="shared" si="0"/>
        <v>53060.009600000012</v>
      </c>
    </row>
    <row r="62" spans="1:15">
      <c r="A62" s="231"/>
      <c r="B62" s="288" t="s">
        <v>39</v>
      </c>
      <c r="C62" s="231">
        <v>5353.0023999999994</v>
      </c>
      <c r="D62" s="231">
        <v>6716.0034999999998</v>
      </c>
      <c r="E62" s="231">
        <v>8056.9979999999996</v>
      </c>
      <c r="F62" s="231">
        <v>4160.9701000000005</v>
      </c>
      <c r="G62" s="231">
        <v>4737.8842000000004</v>
      </c>
      <c r="H62" s="231">
        <v>3911.5888</v>
      </c>
      <c r="I62" s="231">
        <v>3683.7276999999999</v>
      </c>
      <c r="J62" s="231">
        <v>3227.2968000000001</v>
      </c>
      <c r="K62" s="231">
        <v>3531.1759999999999</v>
      </c>
      <c r="L62" s="231">
        <v>4330.5212000000001</v>
      </c>
      <c r="M62" s="231">
        <v>7346.3307000000004</v>
      </c>
      <c r="N62" s="231">
        <v>7463.64</v>
      </c>
      <c r="O62" s="53">
        <f t="shared" si="0"/>
        <v>62519.1394</v>
      </c>
    </row>
    <row r="63" spans="1:15">
      <c r="A63" s="231"/>
      <c r="B63" s="288" t="s">
        <v>40</v>
      </c>
      <c r="C63" s="231">
        <v>3324.3996999999999</v>
      </c>
      <c r="D63" s="231">
        <v>7003.7022999999999</v>
      </c>
      <c r="E63" s="231">
        <v>6065.9525999999996</v>
      </c>
      <c r="F63" s="231">
        <v>3464.7440999999999</v>
      </c>
      <c r="G63" s="231">
        <v>1905.5826999999999</v>
      </c>
      <c r="H63" s="231">
        <v>1702.4213</v>
      </c>
      <c r="I63" s="231">
        <v>1535.9694</v>
      </c>
      <c r="J63" s="231">
        <v>1686.2532000000001</v>
      </c>
      <c r="K63" s="231">
        <v>1463.0804000000001</v>
      </c>
      <c r="L63" s="231">
        <v>1470.7669000000001</v>
      </c>
      <c r="M63" s="231">
        <v>3479.3218999999999</v>
      </c>
      <c r="N63" s="231">
        <v>4264.9323999999997</v>
      </c>
      <c r="O63" s="53">
        <f t="shared" si="0"/>
        <v>37367.126899999996</v>
      </c>
    </row>
    <row r="64" spans="1:15">
      <c r="A64" s="231"/>
      <c r="B64" s="288" t="s">
        <v>41</v>
      </c>
      <c r="C64" s="231">
        <v>41158.133699999998</v>
      </c>
      <c r="D64" s="231">
        <v>39552.277199999997</v>
      </c>
      <c r="E64" s="231">
        <v>37734.004500000003</v>
      </c>
      <c r="F64" s="231">
        <v>33550.895199999999</v>
      </c>
      <c r="G64" s="231">
        <v>27515.984899999999</v>
      </c>
      <c r="H64" s="231">
        <v>28313.407500000001</v>
      </c>
      <c r="I64" s="231">
        <v>28828.730499999998</v>
      </c>
      <c r="J64" s="231">
        <v>23057.684799999999</v>
      </c>
      <c r="K64" s="231">
        <v>22726.7824</v>
      </c>
      <c r="L64" s="231">
        <v>22103.999</v>
      </c>
      <c r="M64" s="231">
        <v>22594.9067</v>
      </c>
      <c r="N64" s="231">
        <v>25385.345600000001</v>
      </c>
      <c r="O64" s="53">
        <f t="shared" si="0"/>
        <v>352522.152</v>
      </c>
    </row>
    <row r="65" spans="1:15">
      <c r="A65" s="8"/>
      <c r="B65" s="9" t="s">
        <v>42</v>
      </c>
      <c r="C65" s="8">
        <v>216546.3572</v>
      </c>
      <c r="D65" s="8">
        <v>209871.06140000001</v>
      </c>
      <c r="E65" s="8">
        <v>180065.6067</v>
      </c>
      <c r="F65" s="8">
        <v>160478.576</v>
      </c>
      <c r="G65" s="8">
        <v>136647.9289</v>
      </c>
      <c r="H65" s="8">
        <v>126150.9795</v>
      </c>
      <c r="I65" s="8">
        <v>133767.90360000002</v>
      </c>
      <c r="J65" s="8">
        <v>123594.5858</v>
      </c>
      <c r="K65" s="8">
        <v>126862.5533</v>
      </c>
      <c r="L65" s="8">
        <v>132656.04749999999</v>
      </c>
      <c r="M65" s="8">
        <v>164831.8921</v>
      </c>
      <c r="N65" s="8">
        <v>193686.37839999999</v>
      </c>
      <c r="O65" s="53">
        <f t="shared" si="0"/>
        <v>1905159.8703999999</v>
      </c>
    </row>
    <row r="66" spans="1:15">
      <c r="A66" s="231"/>
      <c r="B66" s="288"/>
      <c r="C66" s="231"/>
      <c r="D66" s="231"/>
      <c r="E66" s="231"/>
      <c r="F66" s="231"/>
      <c r="G66" s="231"/>
      <c r="H66" s="231"/>
      <c r="I66" s="231"/>
      <c r="J66" s="231"/>
      <c r="K66" s="231"/>
      <c r="L66" s="231"/>
      <c r="M66" s="231"/>
      <c r="N66" s="231"/>
      <c r="O66" s="53"/>
    </row>
    <row r="67" spans="1:15">
      <c r="A67" s="288" t="s">
        <v>46</v>
      </c>
      <c r="B67" s="288" t="s">
        <v>26</v>
      </c>
      <c r="C67" s="231">
        <v>111.7</v>
      </c>
      <c r="D67" s="231">
        <v>110</v>
      </c>
      <c r="E67" s="231">
        <v>123.1</v>
      </c>
      <c r="F67" s="231">
        <v>29</v>
      </c>
      <c r="G67" s="231">
        <v>30.5</v>
      </c>
      <c r="H67" s="231">
        <v>7.3</v>
      </c>
      <c r="I67" s="231">
        <v>7.4</v>
      </c>
      <c r="J67" s="231">
        <v>5.9</v>
      </c>
      <c r="K67" s="231">
        <v>4.8</v>
      </c>
      <c r="L67" s="231">
        <v>16.3</v>
      </c>
      <c r="M67" s="231">
        <v>48.8</v>
      </c>
      <c r="N67" s="231">
        <v>86.6</v>
      </c>
      <c r="O67" s="53">
        <f t="shared" si="0"/>
        <v>581.4</v>
      </c>
    </row>
    <row r="68" spans="1:15">
      <c r="A68" s="231"/>
      <c r="B68" s="288" t="s">
        <v>27</v>
      </c>
      <c r="C68" s="288" t="s">
        <v>45</v>
      </c>
      <c r="D68" s="288" t="s">
        <v>45</v>
      </c>
      <c r="E68" s="288" t="s">
        <v>45</v>
      </c>
      <c r="F68" s="288" t="s">
        <v>45</v>
      </c>
      <c r="G68" s="288" t="s">
        <v>45</v>
      </c>
      <c r="H68" s="288" t="s">
        <v>45</v>
      </c>
      <c r="I68" s="288" t="s">
        <v>45</v>
      </c>
      <c r="J68" s="288" t="s">
        <v>45</v>
      </c>
      <c r="K68" s="288" t="s">
        <v>45</v>
      </c>
      <c r="L68" s="288" t="s">
        <v>45</v>
      </c>
      <c r="M68" s="288" t="s">
        <v>45</v>
      </c>
      <c r="N68" s="288" t="s">
        <v>45</v>
      </c>
      <c r="O68" s="53">
        <f t="shared" si="0"/>
        <v>0</v>
      </c>
    </row>
    <row r="69" spans="1:15">
      <c r="A69" s="231"/>
      <c r="B69" s="294" t="s">
        <v>28</v>
      </c>
      <c r="C69" s="293">
        <v>6233.4023999999999</v>
      </c>
      <c r="D69" s="293">
        <v>6996.4821999999995</v>
      </c>
      <c r="E69" s="293">
        <v>3685.0237999999999</v>
      </c>
      <c r="F69" s="293">
        <v>4803.1341000000002</v>
      </c>
      <c r="G69" s="293">
        <v>2319.7696999999998</v>
      </c>
      <c r="H69" s="293">
        <v>1853.4016999999999</v>
      </c>
      <c r="I69" s="293">
        <v>1533.963</v>
      </c>
      <c r="J69" s="293">
        <v>1567.1069</v>
      </c>
      <c r="K69" s="293">
        <v>1904.962</v>
      </c>
      <c r="L69" s="293">
        <v>3156.8521000000005</v>
      </c>
      <c r="M69" s="293">
        <v>3772.4558999999999</v>
      </c>
      <c r="N69" s="293">
        <v>7509.6042999999991</v>
      </c>
      <c r="O69" s="54">
        <f t="shared" si="0"/>
        <v>45336.158100000001</v>
      </c>
    </row>
    <row r="70" spans="1:15">
      <c r="A70" s="231"/>
      <c r="B70" s="288" t="s">
        <v>29</v>
      </c>
      <c r="C70" s="231">
        <v>663.9</v>
      </c>
      <c r="D70" s="231">
        <v>624.20000000000005</v>
      </c>
      <c r="E70" s="231">
        <v>539.79999999999995</v>
      </c>
      <c r="F70" s="231">
        <v>379.1</v>
      </c>
      <c r="G70" s="231">
        <v>229.8</v>
      </c>
      <c r="H70" s="231">
        <v>129.19999999999999</v>
      </c>
      <c r="I70" s="231">
        <v>109.2</v>
      </c>
      <c r="J70" s="231">
        <v>109.8</v>
      </c>
      <c r="K70" s="231">
        <v>86.1</v>
      </c>
      <c r="L70" s="231">
        <v>180.8</v>
      </c>
      <c r="M70" s="231">
        <v>334.3</v>
      </c>
      <c r="N70" s="231">
        <v>509.3</v>
      </c>
      <c r="O70" s="53">
        <f t="shared" si="0"/>
        <v>3895.5000000000005</v>
      </c>
    </row>
    <row r="71" spans="1:15">
      <c r="A71" s="231"/>
      <c r="B71" s="288" t="s">
        <v>30</v>
      </c>
      <c r="C71" s="288" t="s">
        <v>45</v>
      </c>
      <c r="D71" s="288" t="s">
        <v>45</v>
      </c>
      <c r="E71" s="288" t="s">
        <v>45</v>
      </c>
      <c r="F71" s="288" t="s">
        <v>45</v>
      </c>
      <c r="G71" s="288" t="s">
        <v>45</v>
      </c>
      <c r="H71" s="288" t="s">
        <v>45</v>
      </c>
      <c r="I71" s="288" t="s">
        <v>45</v>
      </c>
      <c r="J71" s="288" t="s">
        <v>45</v>
      </c>
      <c r="K71" s="288" t="s">
        <v>45</v>
      </c>
      <c r="L71" s="288" t="s">
        <v>45</v>
      </c>
      <c r="M71" s="288" t="s">
        <v>45</v>
      </c>
      <c r="N71" s="288" t="s">
        <v>45</v>
      </c>
      <c r="O71" s="53">
        <f t="shared" si="0"/>
        <v>0</v>
      </c>
    </row>
    <row r="72" spans="1:15">
      <c r="A72" s="231"/>
      <c r="B72" s="288" t="s">
        <v>31</v>
      </c>
      <c r="C72" s="231">
        <v>1080.9377999999999</v>
      </c>
      <c r="D72" s="231">
        <v>1169.5510999999999</v>
      </c>
      <c r="E72" s="231">
        <v>899.97519999999997</v>
      </c>
      <c r="F72" s="231">
        <v>677.56330000000003</v>
      </c>
      <c r="G72" s="231">
        <v>455.80110000000002</v>
      </c>
      <c r="H72" s="231">
        <v>304.93990000000002</v>
      </c>
      <c r="I72" s="231">
        <v>313.28660000000002</v>
      </c>
      <c r="J72" s="231">
        <v>262.06189999999998</v>
      </c>
      <c r="K72" s="231">
        <v>320.50799999999998</v>
      </c>
      <c r="L72" s="231">
        <v>391.61399999999998</v>
      </c>
      <c r="M72" s="231">
        <v>579.721</v>
      </c>
      <c r="N72" s="231">
        <v>820.54100000000005</v>
      </c>
      <c r="O72" s="53">
        <f t="shared" si="0"/>
        <v>7276.5009</v>
      </c>
    </row>
    <row r="73" spans="1:15">
      <c r="A73" s="231"/>
      <c r="B73" s="288" t="s">
        <v>32</v>
      </c>
      <c r="C73" s="288" t="s">
        <v>45</v>
      </c>
      <c r="D73" s="288" t="s">
        <v>45</v>
      </c>
      <c r="E73" s="288" t="s">
        <v>45</v>
      </c>
      <c r="F73" s="288" t="s">
        <v>45</v>
      </c>
      <c r="G73" s="288" t="s">
        <v>45</v>
      </c>
      <c r="H73" s="288" t="s">
        <v>45</v>
      </c>
      <c r="I73" s="288" t="s">
        <v>45</v>
      </c>
      <c r="J73" s="288" t="s">
        <v>45</v>
      </c>
      <c r="K73" s="288" t="s">
        <v>45</v>
      </c>
      <c r="L73" s="288" t="s">
        <v>45</v>
      </c>
      <c r="M73" s="288" t="s">
        <v>45</v>
      </c>
      <c r="N73" s="288" t="s">
        <v>45</v>
      </c>
      <c r="O73" s="53">
        <f t="shared" si="0"/>
        <v>0</v>
      </c>
    </row>
    <row r="74" spans="1:15">
      <c r="A74" s="231"/>
      <c r="B74" s="288" t="s">
        <v>33</v>
      </c>
      <c r="C74" s="288" t="s">
        <v>45</v>
      </c>
      <c r="D74" s="288" t="s">
        <v>45</v>
      </c>
      <c r="E74" s="288" t="s">
        <v>45</v>
      </c>
      <c r="F74" s="288" t="s">
        <v>45</v>
      </c>
      <c r="G74" s="288" t="s">
        <v>45</v>
      </c>
      <c r="H74" s="288" t="s">
        <v>45</v>
      </c>
      <c r="I74" s="288" t="s">
        <v>45</v>
      </c>
      <c r="J74" s="288" t="s">
        <v>45</v>
      </c>
      <c r="K74" s="288" t="s">
        <v>45</v>
      </c>
      <c r="L74" s="288" t="s">
        <v>45</v>
      </c>
      <c r="M74" s="288" t="s">
        <v>45</v>
      </c>
      <c r="N74" s="288" t="s">
        <v>45</v>
      </c>
      <c r="O74" s="53">
        <f t="shared" si="0"/>
        <v>0</v>
      </c>
    </row>
    <row r="75" spans="1:15">
      <c r="A75" s="231"/>
      <c r="B75" s="288" t="s">
        <v>34</v>
      </c>
      <c r="C75" s="288" t="s">
        <v>45</v>
      </c>
      <c r="D75" s="288" t="s">
        <v>45</v>
      </c>
      <c r="E75" s="288" t="s">
        <v>45</v>
      </c>
      <c r="F75" s="288" t="s">
        <v>45</v>
      </c>
      <c r="G75" s="288" t="s">
        <v>45</v>
      </c>
      <c r="H75" s="288" t="s">
        <v>45</v>
      </c>
      <c r="I75" s="288" t="s">
        <v>45</v>
      </c>
      <c r="J75" s="288" t="s">
        <v>45</v>
      </c>
      <c r="K75" s="288" t="s">
        <v>45</v>
      </c>
      <c r="L75" s="288" t="s">
        <v>45</v>
      </c>
      <c r="M75" s="288" t="s">
        <v>45</v>
      </c>
      <c r="N75" s="288" t="s">
        <v>45</v>
      </c>
      <c r="O75" s="53">
        <f t="shared" si="0"/>
        <v>0</v>
      </c>
    </row>
    <row r="76" spans="1:15">
      <c r="A76" s="231"/>
      <c r="B76" s="288" t="s">
        <v>35</v>
      </c>
      <c r="C76" s="288" t="s">
        <v>45</v>
      </c>
      <c r="D76" s="288" t="s">
        <v>45</v>
      </c>
      <c r="E76" s="288" t="s">
        <v>45</v>
      </c>
      <c r="F76" s="288" t="s">
        <v>45</v>
      </c>
      <c r="G76" s="288" t="s">
        <v>45</v>
      </c>
      <c r="H76" s="288" t="s">
        <v>45</v>
      </c>
      <c r="I76" s="288" t="s">
        <v>45</v>
      </c>
      <c r="J76" s="288" t="s">
        <v>45</v>
      </c>
      <c r="K76" s="288" t="s">
        <v>45</v>
      </c>
      <c r="L76" s="288" t="s">
        <v>45</v>
      </c>
      <c r="M76" s="288" t="s">
        <v>45</v>
      </c>
      <c r="N76" s="288" t="s">
        <v>45</v>
      </c>
      <c r="O76" s="53">
        <f t="shared" si="0"/>
        <v>0</v>
      </c>
    </row>
    <row r="77" spans="1:15">
      <c r="A77" s="231"/>
      <c r="B77" s="288" t="s">
        <v>36</v>
      </c>
      <c r="C77" s="231">
        <v>1881.7</v>
      </c>
      <c r="D77" s="231">
        <v>2173</v>
      </c>
      <c r="E77" s="231">
        <v>1712.4</v>
      </c>
      <c r="F77" s="231">
        <v>1191.2</v>
      </c>
      <c r="G77" s="231">
        <v>778.8</v>
      </c>
      <c r="H77" s="231">
        <v>369.8</v>
      </c>
      <c r="I77" s="231">
        <v>292.2</v>
      </c>
      <c r="J77" s="231">
        <v>379.4</v>
      </c>
      <c r="K77" s="231">
        <v>290</v>
      </c>
      <c r="L77" s="231">
        <v>431.8</v>
      </c>
      <c r="M77" s="231">
        <v>955</v>
      </c>
      <c r="N77" s="231">
        <v>1384.9</v>
      </c>
      <c r="O77" s="53">
        <f t="shared" si="0"/>
        <v>11840.199999999999</v>
      </c>
    </row>
    <row r="78" spans="1:15">
      <c r="A78" s="231"/>
      <c r="B78" s="288" t="s">
        <v>37</v>
      </c>
      <c r="C78" s="288" t="s">
        <v>45</v>
      </c>
      <c r="D78" s="288" t="s">
        <v>45</v>
      </c>
      <c r="E78" s="288" t="s">
        <v>45</v>
      </c>
      <c r="F78" s="288" t="s">
        <v>45</v>
      </c>
      <c r="G78" s="288" t="s">
        <v>45</v>
      </c>
      <c r="H78" s="288" t="s">
        <v>45</v>
      </c>
      <c r="I78" s="288" t="s">
        <v>45</v>
      </c>
      <c r="J78" s="288" t="s">
        <v>45</v>
      </c>
      <c r="K78" s="288" t="s">
        <v>45</v>
      </c>
      <c r="L78" s="288" t="s">
        <v>45</v>
      </c>
      <c r="M78" s="288" t="s">
        <v>45</v>
      </c>
      <c r="N78" s="288" t="s">
        <v>45</v>
      </c>
      <c r="O78" s="53">
        <f t="shared" ref="O78:O137" si="1">SUM(C78:N78)</f>
        <v>0</v>
      </c>
    </row>
    <row r="79" spans="1:15">
      <c r="A79" s="231"/>
      <c r="B79" s="288" t="s">
        <v>38</v>
      </c>
      <c r="C79" s="231">
        <v>140.0986</v>
      </c>
      <c r="D79" s="231">
        <v>409.69119999999998</v>
      </c>
      <c r="E79" s="231">
        <v>345.8372</v>
      </c>
      <c r="F79" s="231">
        <v>240.09119999999999</v>
      </c>
      <c r="G79" s="231">
        <v>171.96109999999999</v>
      </c>
      <c r="H79" s="231">
        <v>82.772199999999998</v>
      </c>
      <c r="I79" s="231">
        <v>36.253599999999999</v>
      </c>
      <c r="J79" s="231">
        <v>45.035800000000002</v>
      </c>
      <c r="K79" s="231">
        <v>40.260800000000003</v>
      </c>
      <c r="L79" s="231">
        <v>86.475800000000007</v>
      </c>
      <c r="M79" s="231">
        <v>235.58750000000001</v>
      </c>
      <c r="N79" s="231">
        <v>239.18700000000001</v>
      </c>
      <c r="O79" s="53">
        <f t="shared" si="1"/>
        <v>2073.2520000000004</v>
      </c>
    </row>
    <row r="80" spans="1:15">
      <c r="A80" s="231"/>
      <c r="B80" s="288" t="s">
        <v>39</v>
      </c>
      <c r="C80" s="231">
        <v>25.1953</v>
      </c>
      <c r="D80" s="231">
        <v>33.481700000000004</v>
      </c>
      <c r="E80" s="231">
        <v>48.822800000000001</v>
      </c>
      <c r="F80" s="231">
        <v>37.401000000000003</v>
      </c>
      <c r="G80" s="231">
        <v>45.911299999999997</v>
      </c>
      <c r="H80" s="231">
        <v>7.5026000000000002</v>
      </c>
      <c r="I80" s="231">
        <v>12.0349</v>
      </c>
      <c r="J80" s="231">
        <v>107.4307</v>
      </c>
      <c r="K80" s="231">
        <v>245.26660000000001</v>
      </c>
      <c r="L80" s="231">
        <v>292.73480000000001</v>
      </c>
      <c r="M80" s="231">
        <v>247.40299999999999</v>
      </c>
      <c r="N80" s="231">
        <v>432.06610000000001</v>
      </c>
      <c r="O80" s="53">
        <f t="shared" si="1"/>
        <v>1535.2508</v>
      </c>
    </row>
    <row r="81" spans="1:15">
      <c r="A81" s="231"/>
      <c r="B81" s="288" t="s">
        <v>40</v>
      </c>
      <c r="C81" s="231">
        <v>89.5</v>
      </c>
      <c r="D81" s="231">
        <v>142.9</v>
      </c>
      <c r="E81" s="231">
        <v>126.8</v>
      </c>
      <c r="F81" s="231">
        <v>77</v>
      </c>
      <c r="G81" s="231">
        <v>17.3</v>
      </c>
      <c r="H81" s="231">
        <v>4.8</v>
      </c>
      <c r="I81" s="231">
        <v>0.8</v>
      </c>
      <c r="J81" s="231">
        <v>0.5</v>
      </c>
      <c r="K81" s="231">
        <v>2.2999999999999998</v>
      </c>
      <c r="L81" s="231">
        <v>9.6</v>
      </c>
      <c r="M81" s="231">
        <v>57.2</v>
      </c>
      <c r="N81" s="231">
        <v>98.7</v>
      </c>
      <c r="O81" s="53">
        <f t="shared" si="1"/>
        <v>627.40000000000009</v>
      </c>
    </row>
    <row r="82" spans="1:15">
      <c r="A82" s="231"/>
      <c r="B82" s="288" t="s">
        <v>41</v>
      </c>
      <c r="C82" s="231">
        <v>1513.2385999999999</v>
      </c>
      <c r="D82" s="231">
        <v>1387.9966999999999</v>
      </c>
      <c r="E82" s="231">
        <v>1467.1932999999999</v>
      </c>
      <c r="F82" s="231">
        <v>868.32799999999997</v>
      </c>
      <c r="G82" s="231">
        <v>395.85879999999997</v>
      </c>
      <c r="H82" s="231">
        <v>232.76</v>
      </c>
      <c r="I82" s="231">
        <v>200.37440000000001</v>
      </c>
      <c r="J82" s="231">
        <v>199.1549</v>
      </c>
      <c r="K82" s="231">
        <v>195.25380000000001</v>
      </c>
      <c r="L82" s="231">
        <v>293.94810000000001</v>
      </c>
      <c r="M82" s="231">
        <v>809.90480000000002</v>
      </c>
      <c r="N82" s="231">
        <v>757.2079</v>
      </c>
      <c r="O82" s="53">
        <f t="shared" si="1"/>
        <v>8321.2192999999988</v>
      </c>
    </row>
    <row r="83" spans="1:15">
      <c r="A83" s="8"/>
      <c r="B83" s="9" t="s">
        <v>42</v>
      </c>
      <c r="C83" s="8">
        <v>11739.672699999999</v>
      </c>
      <c r="D83" s="8">
        <v>13047.302899999999</v>
      </c>
      <c r="E83" s="8">
        <v>8948.952299999999</v>
      </c>
      <c r="F83" s="8">
        <v>8302.8176000000021</v>
      </c>
      <c r="G83" s="8">
        <v>4445.7020000000002</v>
      </c>
      <c r="H83" s="8">
        <v>2992.4763999999996</v>
      </c>
      <c r="I83" s="8">
        <v>2505.5125000000003</v>
      </c>
      <c r="J83" s="8">
        <v>2676.3901999999998</v>
      </c>
      <c r="K83" s="8">
        <v>3089.4512000000004</v>
      </c>
      <c r="L83" s="8">
        <v>4860.1248000000005</v>
      </c>
      <c r="M83" s="8">
        <v>7040.3721999999998</v>
      </c>
      <c r="N83" s="8">
        <v>11838.106300000001</v>
      </c>
      <c r="O83" s="53">
        <f t="shared" si="1"/>
        <v>81486.881099999999</v>
      </c>
    </row>
    <row r="84" spans="1:15">
      <c r="A84" s="231"/>
      <c r="B84" s="288"/>
      <c r="C84" s="231"/>
      <c r="D84" s="231"/>
      <c r="E84" s="231"/>
      <c r="F84" s="231"/>
      <c r="G84" s="231"/>
      <c r="H84" s="231"/>
      <c r="I84" s="231"/>
      <c r="J84" s="231"/>
      <c r="K84" s="231"/>
      <c r="L84" s="231"/>
      <c r="M84" s="231"/>
      <c r="N84" s="231"/>
      <c r="O84" s="53"/>
    </row>
    <row r="85" spans="1:15">
      <c r="A85" s="288" t="s">
        <v>47</v>
      </c>
      <c r="B85" s="288" t="s">
        <v>26</v>
      </c>
      <c r="C85" s="231">
        <v>2369</v>
      </c>
      <c r="D85" s="231">
        <v>2751</v>
      </c>
      <c r="E85" s="231">
        <v>1575</v>
      </c>
      <c r="F85" s="231">
        <v>2159</v>
      </c>
      <c r="G85" s="231">
        <v>1545</v>
      </c>
      <c r="H85" s="231">
        <v>2688</v>
      </c>
      <c r="I85" s="231">
        <v>3970</v>
      </c>
      <c r="J85" s="231">
        <v>3354</v>
      </c>
      <c r="K85" s="231">
        <v>3303</v>
      </c>
      <c r="L85" s="231">
        <v>4016</v>
      </c>
      <c r="M85" s="231">
        <v>4184</v>
      </c>
      <c r="N85" s="231">
        <v>3754</v>
      </c>
      <c r="O85" s="53">
        <f t="shared" si="1"/>
        <v>35668</v>
      </c>
    </row>
    <row r="86" spans="1:15">
      <c r="A86" s="231"/>
      <c r="B86" s="288" t="s">
        <v>27</v>
      </c>
      <c r="C86" s="231">
        <v>6070</v>
      </c>
      <c r="D86" s="231">
        <v>4414</v>
      </c>
      <c r="E86" s="288" t="s">
        <v>45</v>
      </c>
      <c r="F86" s="231">
        <v>3700</v>
      </c>
      <c r="G86" s="231">
        <v>2210</v>
      </c>
      <c r="H86" s="231">
        <v>2340</v>
      </c>
      <c r="I86" s="231">
        <v>977</v>
      </c>
      <c r="J86" s="231">
        <v>880</v>
      </c>
      <c r="K86" s="231">
        <v>945</v>
      </c>
      <c r="L86" s="231">
        <v>1727</v>
      </c>
      <c r="M86" s="231">
        <v>2661</v>
      </c>
      <c r="N86" s="231">
        <v>3343</v>
      </c>
      <c r="O86" s="53">
        <f t="shared" si="1"/>
        <v>29267</v>
      </c>
    </row>
    <row r="87" spans="1:15">
      <c r="A87" s="231"/>
      <c r="B87" s="294" t="s">
        <v>28</v>
      </c>
      <c r="C87" s="293">
        <v>5957</v>
      </c>
      <c r="D87" s="293">
        <v>2430</v>
      </c>
      <c r="E87" s="293">
        <v>753</v>
      </c>
      <c r="F87" s="293">
        <v>9891</v>
      </c>
      <c r="G87" s="293">
        <v>25111</v>
      </c>
      <c r="H87" s="293">
        <v>13002</v>
      </c>
      <c r="I87" s="293">
        <v>1</v>
      </c>
      <c r="J87" s="293">
        <v>21</v>
      </c>
      <c r="K87" s="294" t="s">
        <v>45</v>
      </c>
      <c r="L87" s="293">
        <v>23231</v>
      </c>
      <c r="M87" s="293">
        <v>10840</v>
      </c>
      <c r="N87" s="293">
        <v>2460</v>
      </c>
      <c r="O87" s="54">
        <f t="shared" si="1"/>
        <v>93697</v>
      </c>
    </row>
    <row r="88" spans="1:15">
      <c r="A88" s="231"/>
      <c r="B88" s="288" t="s">
        <v>29</v>
      </c>
      <c r="C88" s="231">
        <v>32424</v>
      </c>
      <c r="D88" s="231">
        <v>32790</v>
      </c>
      <c r="E88" s="231">
        <v>15630</v>
      </c>
      <c r="F88" s="231">
        <v>29562</v>
      </c>
      <c r="G88" s="231">
        <v>26748</v>
      </c>
      <c r="H88" s="231">
        <v>28994</v>
      </c>
      <c r="I88" s="231">
        <v>34346</v>
      </c>
      <c r="J88" s="231">
        <v>28477</v>
      </c>
      <c r="K88" s="231">
        <v>30693</v>
      </c>
      <c r="L88" s="231">
        <v>31511</v>
      </c>
      <c r="M88" s="231">
        <v>34672</v>
      </c>
      <c r="N88" s="231">
        <v>32419</v>
      </c>
      <c r="O88" s="53">
        <f t="shared" si="1"/>
        <v>358266</v>
      </c>
    </row>
    <row r="89" spans="1:15">
      <c r="A89" s="231"/>
      <c r="B89" s="288" t="s">
        <v>30</v>
      </c>
      <c r="C89" s="288" t="s">
        <v>45</v>
      </c>
      <c r="D89" s="288" t="s">
        <v>45</v>
      </c>
      <c r="E89" s="288" t="s">
        <v>45</v>
      </c>
      <c r="F89" s="288" t="s">
        <v>45</v>
      </c>
      <c r="G89" s="288" t="s">
        <v>45</v>
      </c>
      <c r="H89" s="288" t="s">
        <v>45</v>
      </c>
      <c r="I89" s="288" t="s">
        <v>45</v>
      </c>
      <c r="J89" s="288" t="s">
        <v>45</v>
      </c>
      <c r="K89" s="288" t="s">
        <v>45</v>
      </c>
      <c r="L89" s="288" t="s">
        <v>45</v>
      </c>
      <c r="M89" s="288" t="s">
        <v>45</v>
      </c>
      <c r="N89" s="288" t="s">
        <v>45</v>
      </c>
      <c r="O89" s="53">
        <f t="shared" si="1"/>
        <v>0</v>
      </c>
    </row>
    <row r="90" spans="1:15">
      <c r="A90" s="231"/>
      <c r="B90" s="288" t="s">
        <v>31</v>
      </c>
      <c r="C90" s="288" t="s">
        <v>45</v>
      </c>
      <c r="D90" s="288" t="s">
        <v>45</v>
      </c>
      <c r="E90" s="288" t="s">
        <v>45</v>
      </c>
      <c r="F90" s="288" t="s">
        <v>45</v>
      </c>
      <c r="G90" s="288" t="s">
        <v>45</v>
      </c>
      <c r="H90" s="288" t="s">
        <v>45</v>
      </c>
      <c r="I90" s="288" t="s">
        <v>45</v>
      </c>
      <c r="J90" s="288" t="s">
        <v>45</v>
      </c>
      <c r="K90" s="288" t="s">
        <v>45</v>
      </c>
      <c r="L90" s="288" t="s">
        <v>45</v>
      </c>
      <c r="M90" s="288" t="s">
        <v>45</v>
      </c>
      <c r="N90" s="288" t="s">
        <v>45</v>
      </c>
      <c r="O90" s="53">
        <f t="shared" si="1"/>
        <v>0</v>
      </c>
    </row>
    <row r="91" spans="1:15">
      <c r="A91" s="231"/>
      <c r="B91" s="288" t="s">
        <v>32</v>
      </c>
      <c r="C91" s="231">
        <v>40178</v>
      </c>
      <c r="D91" s="231">
        <v>38107</v>
      </c>
      <c r="E91" s="288" t="s">
        <v>45</v>
      </c>
      <c r="F91" s="231">
        <v>21254</v>
      </c>
      <c r="G91" s="231">
        <v>16576</v>
      </c>
      <c r="H91" s="231">
        <v>8863</v>
      </c>
      <c r="I91" s="231">
        <v>7935</v>
      </c>
      <c r="J91" s="231">
        <v>4504</v>
      </c>
      <c r="K91" s="231">
        <v>6121</v>
      </c>
      <c r="L91" s="231">
        <v>10730</v>
      </c>
      <c r="M91" s="231">
        <v>18843</v>
      </c>
      <c r="N91" s="231">
        <v>19712</v>
      </c>
      <c r="O91" s="53">
        <f t="shared" si="1"/>
        <v>192823</v>
      </c>
    </row>
    <row r="92" spans="1:15">
      <c r="A92" s="231"/>
      <c r="B92" s="288" t="s">
        <v>33</v>
      </c>
      <c r="C92" s="288" t="s">
        <v>45</v>
      </c>
      <c r="D92" s="288" t="s">
        <v>45</v>
      </c>
      <c r="E92" s="288" t="s">
        <v>45</v>
      </c>
      <c r="F92" s="288" t="s">
        <v>45</v>
      </c>
      <c r="G92" s="288" t="s">
        <v>45</v>
      </c>
      <c r="H92" s="288" t="s">
        <v>45</v>
      </c>
      <c r="I92" s="288" t="s">
        <v>45</v>
      </c>
      <c r="J92" s="288" t="s">
        <v>45</v>
      </c>
      <c r="K92" s="288" t="s">
        <v>45</v>
      </c>
      <c r="L92" s="288" t="s">
        <v>45</v>
      </c>
      <c r="M92" s="288" t="s">
        <v>45</v>
      </c>
      <c r="N92" s="288" t="s">
        <v>45</v>
      </c>
      <c r="O92" s="53">
        <f t="shared" si="1"/>
        <v>0</v>
      </c>
    </row>
    <row r="93" spans="1:15">
      <c r="A93" s="231"/>
      <c r="B93" s="288" t="s">
        <v>34</v>
      </c>
      <c r="C93" s="288" t="s">
        <v>45</v>
      </c>
      <c r="D93" s="288" t="s">
        <v>45</v>
      </c>
      <c r="E93" s="288" t="s">
        <v>45</v>
      </c>
      <c r="F93" s="288" t="s">
        <v>45</v>
      </c>
      <c r="G93" s="288" t="s">
        <v>45</v>
      </c>
      <c r="H93" s="288" t="s">
        <v>45</v>
      </c>
      <c r="I93" s="288" t="s">
        <v>45</v>
      </c>
      <c r="J93" s="288" t="s">
        <v>45</v>
      </c>
      <c r="K93" s="288" t="s">
        <v>45</v>
      </c>
      <c r="L93" s="288" t="s">
        <v>45</v>
      </c>
      <c r="M93" s="288" t="s">
        <v>45</v>
      </c>
      <c r="N93" s="288" t="s">
        <v>45</v>
      </c>
      <c r="O93" s="53">
        <f t="shared" si="1"/>
        <v>0</v>
      </c>
    </row>
    <row r="94" spans="1:15">
      <c r="A94" s="231"/>
      <c r="B94" s="288" t="s">
        <v>35</v>
      </c>
      <c r="C94" s="288" t="s">
        <v>45</v>
      </c>
      <c r="D94" s="288" t="s">
        <v>45</v>
      </c>
      <c r="E94" s="288" t="s">
        <v>45</v>
      </c>
      <c r="F94" s="288" t="s">
        <v>45</v>
      </c>
      <c r="G94" s="288" t="s">
        <v>45</v>
      </c>
      <c r="H94" s="288" t="s">
        <v>45</v>
      </c>
      <c r="I94" s="288" t="s">
        <v>45</v>
      </c>
      <c r="J94" s="288" t="s">
        <v>45</v>
      </c>
      <c r="K94" s="288" t="s">
        <v>45</v>
      </c>
      <c r="L94" s="288" t="s">
        <v>45</v>
      </c>
      <c r="M94" s="288" t="s">
        <v>45</v>
      </c>
      <c r="N94" s="288" t="s">
        <v>45</v>
      </c>
      <c r="O94" s="53">
        <f t="shared" si="1"/>
        <v>0</v>
      </c>
    </row>
    <row r="95" spans="1:15">
      <c r="A95" s="231"/>
      <c r="B95" s="288" t="s">
        <v>36</v>
      </c>
      <c r="C95" s="231">
        <v>14986</v>
      </c>
      <c r="D95" s="231">
        <v>15637</v>
      </c>
      <c r="E95" s="231">
        <v>7116</v>
      </c>
      <c r="F95" s="231">
        <v>12579</v>
      </c>
      <c r="G95" s="231">
        <v>9647</v>
      </c>
      <c r="H95" s="231">
        <v>8397</v>
      </c>
      <c r="I95" s="231">
        <v>6933</v>
      </c>
      <c r="J95" s="231">
        <v>2339</v>
      </c>
      <c r="K95" s="231">
        <v>2137</v>
      </c>
      <c r="L95" s="231">
        <v>2948</v>
      </c>
      <c r="M95" s="231">
        <v>4839</v>
      </c>
      <c r="N95" s="231">
        <v>7307</v>
      </c>
      <c r="O95" s="53">
        <f t="shared" si="1"/>
        <v>94865</v>
      </c>
    </row>
    <row r="96" spans="1:15">
      <c r="A96" s="231"/>
      <c r="B96" s="288" t="s">
        <v>37</v>
      </c>
      <c r="C96" s="288" t="s">
        <v>45</v>
      </c>
      <c r="D96" s="288" t="s">
        <v>45</v>
      </c>
      <c r="E96" s="288" t="s">
        <v>45</v>
      </c>
      <c r="F96" s="288" t="s">
        <v>45</v>
      </c>
      <c r="G96" s="288" t="s">
        <v>45</v>
      </c>
      <c r="H96" s="288" t="s">
        <v>45</v>
      </c>
      <c r="I96" s="288" t="s">
        <v>45</v>
      </c>
      <c r="J96" s="288" t="s">
        <v>45</v>
      </c>
      <c r="K96" s="288" t="s">
        <v>45</v>
      </c>
      <c r="L96" s="288" t="s">
        <v>45</v>
      </c>
      <c r="M96" s="288" t="s">
        <v>45</v>
      </c>
      <c r="N96" s="288" t="s">
        <v>45</v>
      </c>
      <c r="O96" s="53">
        <f t="shared" si="1"/>
        <v>0</v>
      </c>
    </row>
    <row r="97" spans="1:15">
      <c r="A97" s="231"/>
      <c r="B97" s="288" t="s">
        <v>38</v>
      </c>
      <c r="C97" s="231">
        <v>51255</v>
      </c>
      <c r="D97" s="231">
        <v>45818</v>
      </c>
      <c r="E97" s="288" t="s">
        <v>45</v>
      </c>
      <c r="F97" s="231">
        <v>45501</v>
      </c>
      <c r="G97" s="231">
        <v>39550</v>
      </c>
      <c r="H97" s="231">
        <v>35656</v>
      </c>
      <c r="I97" s="231">
        <v>35949</v>
      </c>
      <c r="J97" s="231">
        <v>38461</v>
      </c>
      <c r="K97" s="231">
        <v>36329</v>
      </c>
      <c r="L97" s="231">
        <v>34635</v>
      </c>
      <c r="M97" s="231">
        <v>38056</v>
      </c>
      <c r="N97" s="231">
        <v>40588</v>
      </c>
      <c r="O97" s="53">
        <f t="shared" si="1"/>
        <v>441798</v>
      </c>
    </row>
    <row r="98" spans="1:15">
      <c r="A98" s="231"/>
      <c r="B98" s="288" t="s">
        <v>39</v>
      </c>
      <c r="C98" s="231">
        <v>34809</v>
      </c>
      <c r="D98" s="231">
        <v>32091</v>
      </c>
      <c r="E98" s="231">
        <v>15314</v>
      </c>
      <c r="F98" s="231">
        <v>24127</v>
      </c>
      <c r="G98" s="231">
        <v>16370</v>
      </c>
      <c r="H98" s="231">
        <v>9188</v>
      </c>
      <c r="I98" s="231">
        <v>8846</v>
      </c>
      <c r="J98" s="231">
        <v>11537</v>
      </c>
      <c r="K98" s="231">
        <v>11648</v>
      </c>
      <c r="L98" s="231">
        <v>16609</v>
      </c>
      <c r="M98" s="231">
        <v>27499</v>
      </c>
      <c r="N98" s="231">
        <v>26462</v>
      </c>
      <c r="O98" s="53">
        <f t="shared" si="1"/>
        <v>234500</v>
      </c>
    </row>
    <row r="99" spans="1:15">
      <c r="A99" s="231"/>
      <c r="B99" s="288" t="s">
        <v>40</v>
      </c>
      <c r="C99" s="288" t="s">
        <v>45</v>
      </c>
      <c r="D99" s="288" t="s">
        <v>45</v>
      </c>
      <c r="E99" s="288" t="s">
        <v>45</v>
      </c>
      <c r="F99" s="288" t="s">
        <v>45</v>
      </c>
      <c r="G99" s="288" t="s">
        <v>45</v>
      </c>
      <c r="H99" s="288" t="s">
        <v>45</v>
      </c>
      <c r="I99" s="288" t="s">
        <v>45</v>
      </c>
      <c r="J99" s="288" t="s">
        <v>45</v>
      </c>
      <c r="K99" s="288" t="s">
        <v>45</v>
      </c>
      <c r="L99" s="288" t="s">
        <v>45</v>
      </c>
      <c r="M99" s="288" t="s">
        <v>45</v>
      </c>
      <c r="N99" s="288" t="s">
        <v>45</v>
      </c>
      <c r="O99" s="53">
        <f t="shared" si="1"/>
        <v>0</v>
      </c>
    </row>
    <row r="100" spans="1:15">
      <c r="A100" s="231"/>
      <c r="B100" s="288" t="s">
        <v>41</v>
      </c>
      <c r="C100" s="231">
        <v>7593</v>
      </c>
      <c r="D100" s="231">
        <v>7092</v>
      </c>
      <c r="E100" s="288" t="s">
        <v>45</v>
      </c>
      <c r="F100" s="231">
        <v>7470</v>
      </c>
      <c r="G100" s="231">
        <v>6587</v>
      </c>
      <c r="H100" s="288" t="s">
        <v>45</v>
      </c>
      <c r="I100" s="288" t="s">
        <v>45</v>
      </c>
      <c r="J100" s="288" t="s">
        <v>45</v>
      </c>
      <c r="K100" s="288" t="s">
        <v>45</v>
      </c>
      <c r="L100" s="288" t="s">
        <v>45</v>
      </c>
      <c r="M100" s="288" t="s">
        <v>45</v>
      </c>
      <c r="N100" s="288" t="s">
        <v>45</v>
      </c>
      <c r="O100" s="53">
        <f t="shared" si="1"/>
        <v>28742</v>
      </c>
    </row>
    <row r="101" spans="1:15">
      <c r="A101" s="8"/>
      <c r="B101" s="9" t="s">
        <v>42</v>
      </c>
      <c r="C101" s="8">
        <v>195641</v>
      </c>
      <c r="D101" s="8">
        <v>181130</v>
      </c>
      <c r="E101" s="8">
        <v>40388</v>
      </c>
      <c r="F101" s="8">
        <v>156243</v>
      </c>
      <c r="G101" s="8">
        <v>144344</v>
      </c>
      <c r="H101" s="8">
        <v>109128</v>
      </c>
      <c r="I101" s="8">
        <v>98957</v>
      </c>
      <c r="J101" s="8">
        <v>89573</v>
      </c>
      <c r="K101" s="8">
        <v>91176</v>
      </c>
      <c r="L101" s="8">
        <v>125407</v>
      </c>
      <c r="M101" s="8">
        <v>141594</v>
      </c>
      <c r="N101" s="8">
        <v>136045</v>
      </c>
      <c r="O101" s="53">
        <f t="shared" si="1"/>
        <v>1509626</v>
      </c>
    </row>
    <row r="102" spans="1:15">
      <c r="A102" s="231"/>
      <c r="B102" s="288"/>
      <c r="C102" s="231"/>
      <c r="D102" s="231"/>
      <c r="E102" s="231"/>
      <c r="F102" s="231"/>
      <c r="G102" s="231"/>
      <c r="H102" s="231"/>
      <c r="I102" s="231"/>
      <c r="J102" s="231"/>
      <c r="K102" s="231"/>
      <c r="L102" s="231"/>
      <c r="M102" s="231"/>
      <c r="N102" s="231"/>
      <c r="O102" s="53"/>
    </row>
    <row r="103" spans="1:15">
      <c r="A103" s="288" t="s">
        <v>48</v>
      </c>
      <c r="B103" s="288" t="s">
        <v>26</v>
      </c>
      <c r="C103" s="231">
        <v>206.57140000000001</v>
      </c>
      <c r="D103" s="231">
        <v>129.41399999999999</v>
      </c>
      <c r="E103" s="231">
        <v>101.61499999999999</v>
      </c>
      <c r="F103" s="231">
        <v>72.511200000000002</v>
      </c>
      <c r="G103" s="231">
        <v>39.907400000000003</v>
      </c>
      <c r="H103" s="231">
        <v>29.086200000000002</v>
      </c>
      <c r="I103" s="231">
        <v>30.4862</v>
      </c>
      <c r="J103" s="231">
        <v>14.053000000000001</v>
      </c>
      <c r="K103" s="231">
        <v>29.766200000000001</v>
      </c>
      <c r="L103" s="231">
        <v>34.732999999999997</v>
      </c>
      <c r="M103" s="231">
        <v>80.399500000000003</v>
      </c>
      <c r="N103" s="231">
        <v>156.1437</v>
      </c>
      <c r="O103" s="53">
        <f t="shared" si="1"/>
        <v>924.68680000000006</v>
      </c>
    </row>
    <row r="104" spans="1:15">
      <c r="A104" s="231"/>
      <c r="B104" s="288" t="s">
        <v>27</v>
      </c>
      <c r="C104" s="231">
        <v>50.502800000000001</v>
      </c>
      <c r="D104" s="231">
        <v>48.353700000000003</v>
      </c>
      <c r="E104" s="231">
        <v>39.7575</v>
      </c>
      <c r="F104" s="231">
        <v>30.5166</v>
      </c>
      <c r="G104" s="231">
        <v>22.135300000000001</v>
      </c>
      <c r="H104" s="231">
        <v>11.604900000000001</v>
      </c>
      <c r="I104" s="231">
        <v>12.034700000000001</v>
      </c>
      <c r="J104" s="231">
        <v>12.034700000000001</v>
      </c>
      <c r="K104" s="231">
        <v>10.7453</v>
      </c>
      <c r="L104" s="231">
        <v>15.903</v>
      </c>
      <c r="M104" s="231">
        <v>28.3675</v>
      </c>
      <c r="N104" s="231">
        <v>45.989800000000002</v>
      </c>
      <c r="O104" s="53">
        <f t="shared" si="1"/>
        <v>327.94579999999996</v>
      </c>
    </row>
    <row r="105" spans="1:15">
      <c r="A105" s="231"/>
      <c r="B105" s="294" t="s">
        <v>28</v>
      </c>
      <c r="C105" s="294" t="s">
        <v>45</v>
      </c>
      <c r="D105" s="294" t="s">
        <v>45</v>
      </c>
      <c r="E105" s="294" t="s">
        <v>45</v>
      </c>
      <c r="F105" s="294" t="s">
        <v>45</v>
      </c>
      <c r="G105" s="294" t="s">
        <v>45</v>
      </c>
      <c r="H105" s="294" t="s">
        <v>45</v>
      </c>
      <c r="I105" s="294" t="s">
        <v>45</v>
      </c>
      <c r="J105" s="294" t="s">
        <v>45</v>
      </c>
      <c r="K105" s="294" t="s">
        <v>45</v>
      </c>
      <c r="L105" s="294" t="s">
        <v>45</v>
      </c>
      <c r="M105" s="294" t="s">
        <v>45</v>
      </c>
      <c r="N105" s="294" t="s">
        <v>45</v>
      </c>
      <c r="O105" s="54">
        <f t="shared" si="1"/>
        <v>0</v>
      </c>
    </row>
    <row r="106" spans="1:15">
      <c r="A106" s="231"/>
      <c r="B106" s="288" t="s">
        <v>29</v>
      </c>
      <c r="C106" s="231">
        <v>136.95169999999999</v>
      </c>
      <c r="D106" s="231">
        <v>133.14770000000001</v>
      </c>
      <c r="E106" s="231">
        <v>123.5185</v>
      </c>
      <c r="F106" s="231">
        <v>78.508399999999995</v>
      </c>
      <c r="G106" s="231">
        <v>53.432400000000001</v>
      </c>
      <c r="H106" s="231">
        <v>15.6668</v>
      </c>
      <c r="I106" s="231">
        <v>15.566800000000001</v>
      </c>
      <c r="J106" s="231">
        <v>14.466800000000001</v>
      </c>
      <c r="K106" s="231">
        <v>13.566800000000001</v>
      </c>
      <c r="L106" s="231">
        <v>19.2668</v>
      </c>
      <c r="M106" s="231">
        <v>34.733600000000003</v>
      </c>
      <c r="N106" s="231">
        <v>112.54819999999999</v>
      </c>
      <c r="O106" s="53">
        <f t="shared" si="1"/>
        <v>751.37450000000001</v>
      </c>
    </row>
    <row r="107" spans="1:15">
      <c r="A107" s="231"/>
      <c r="B107" s="288" t="s">
        <v>30</v>
      </c>
      <c r="C107" s="231">
        <v>53.305799999999998</v>
      </c>
      <c r="D107" s="231">
        <v>33.994999999999997</v>
      </c>
      <c r="E107" s="231">
        <v>29.569600000000001</v>
      </c>
      <c r="F107" s="231">
        <v>20.517700000000001</v>
      </c>
      <c r="G107" s="231">
        <v>20.115400000000001</v>
      </c>
      <c r="H107" s="231">
        <v>16.896899999999999</v>
      </c>
      <c r="I107" s="231">
        <v>21.523499999999999</v>
      </c>
      <c r="J107" s="231">
        <v>20.718900000000001</v>
      </c>
      <c r="K107" s="231">
        <v>27.5581</v>
      </c>
      <c r="L107" s="231">
        <v>8.4484999999999992</v>
      </c>
      <c r="M107" s="231">
        <v>23.1327</v>
      </c>
      <c r="N107" s="231">
        <v>106.4104</v>
      </c>
      <c r="O107" s="53">
        <f t="shared" si="1"/>
        <v>382.19249999999988</v>
      </c>
    </row>
    <row r="108" spans="1:15">
      <c r="A108" s="231"/>
      <c r="B108" s="288" t="s">
        <v>31</v>
      </c>
      <c r="C108" s="231">
        <v>278.31569999999999</v>
      </c>
      <c r="D108" s="231">
        <v>258.21850000000001</v>
      </c>
      <c r="E108" s="231">
        <v>276.48869999999999</v>
      </c>
      <c r="F108" s="231">
        <v>250.60599999999999</v>
      </c>
      <c r="G108" s="231">
        <v>258.52300000000002</v>
      </c>
      <c r="H108" s="231">
        <v>227.76820000000001</v>
      </c>
      <c r="I108" s="231">
        <v>67.295199999999994</v>
      </c>
      <c r="J108" s="288" t="s">
        <v>45</v>
      </c>
      <c r="K108" s="288" t="s">
        <v>45</v>
      </c>
      <c r="L108" s="231">
        <v>54.810499999999998</v>
      </c>
      <c r="M108" s="231">
        <v>136.41730000000001</v>
      </c>
      <c r="N108" s="231">
        <v>179.6568</v>
      </c>
      <c r="O108" s="53">
        <f t="shared" si="1"/>
        <v>1988.0999000000004</v>
      </c>
    </row>
    <row r="109" spans="1:15">
      <c r="A109" s="231"/>
      <c r="B109" s="288" t="s">
        <v>32</v>
      </c>
      <c r="C109" s="231">
        <v>299.8673</v>
      </c>
      <c r="D109" s="231">
        <v>88</v>
      </c>
      <c r="E109" s="231">
        <v>96.8</v>
      </c>
      <c r="F109" s="231">
        <v>304.93200000000002</v>
      </c>
      <c r="G109" s="231">
        <v>385.98599999999999</v>
      </c>
      <c r="H109" s="231">
        <v>416.56830000000002</v>
      </c>
      <c r="I109" s="231">
        <v>494.71730000000002</v>
      </c>
      <c r="J109" s="231">
        <v>342.44560000000001</v>
      </c>
      <c r="K109" s="231">
        <v>225.6908</v>
      </c>
      <c r="L109" s="231">
        <v>140.52440000000001</v>
      </c>
      <c r="M109" s="231">
        <v>275.9744</v>
      </c>
      <c r="N109" s="231">
        <v>52.955400000000004</v>
      </c>
      <c r="O109" s="53">
        <f t="shared" si="1"/>
        <v>3124.4614999999994</v>
      </c>
    </row>
    <row r="110" spans="1:15">
      <c r="A110" s="231"/>
      <c r="B110" s="288" t="s">
        <v>33</v>
      </c>
      <c r="C110" s="288" t="s">
        <v>45</v>
      </c>
      <c r="D110" s="288" t="s">
        <v>45</v>
      </c>
      <c r="E110" s="288" t="s">
        <v>45</v>
      </c>
      <c r="F110" s="288" t="s">
        <v>45</v>
      </c>
      <c r="G110" s="288" t="s">
        <v>45</v>
      </c>
      <c r="H110" s="288" t="s">
        <v>45</v>
      </c>
      <c r="I110" s="288" t="s">
        <v>45</v>
      </c>
      <c r="J110" s="288" t="s">
        <v>45</v>
      </c>
      <c r="K110" s="288" t="s">
        <v>45</v>
      </c>
      <c r="L110" s="288" t="s">
        <v>45</v>
      </c>
      <c r="M110" s="288" t="s">
        <v>45</v>
      </c>
      <c r="N110" s="288" t="s">
        <v>45</v>
      </c>
      <c r="O110" s="53">
        <f t="shared" si="1"/>
        <v>0</v>
      </c>
    </row>
    <row r="111" spans="1:15">
      <c r="A111" s="231"/>
      <c r="B111" s="288" t="s">
        <v>34</v>
      </c>
      <c r="C111" s="231">
        <v>129.69999999999999</v>
      </c>
      <c r="D111" s="231">
        <v>123.2</v>
      </c>
      <c r="E111" s="231">
        <v>126.1</v>
      </c>
      <c r="F111" s="231">
        <v>79.3</v>
      </c>
      <c r="G111" s="231">
        <v>45.5</v>
      </c>
      <c r="H111" s="231">
        <v>13.8</v>
      </c>
      <c r="I111" s="288" t="s">
        <v>45</v>
      </c>
      <c r="J111" s="288" t="s">
        <v>45</v>
      </c>
      <c r="K111" s="288" t="s">
        <v>45</v>
      </c>
      <c r="L111" s="231">
        <v>0.2</v>
      </c>
      <c r="M111" s="231">
        <v>3.8</v>
      </c>
      <c r="N111" s="288" t="s">
        <v>45</v>
      </c>
      <c r="O111" s="53">
        <f t="shared" si="1"/>
        <v>521.6</v>
      </c>
    </row>
    <row r="112" spans="1:15">
      <c r="A112" s="231"/>
      <c r="B112" s="288" t="s">
        <v>35</v>
      </c>
      <c r="C112" s="288" t="s">
        <v>45</v>
      </c>
      <c r="D112" s="288" t="s">
        <v>45</v>
      </c>
      <c r="E112" s="288" t="s">
        <v>45</v>
      </c>
      <c r="F112" s="288" t="s">
        <v>45</v>
      </c>
      <c r="G112" s="288" t="s">
        <v>45</v>
      </c>
      <c r="H112" s="288" t="s">
        <v>45</v>
      </c>
      <c r="I112" s="288" t="s">
        <v>45</v>
      </c>
      <c r="J112" s="288" t="s">
        <v>45</v>
      </c>
      <c r="K112" s="288" t="s">
        <v>45</v>
      </c>
      <c r="L112" s="288" t="s">
        <v>45</v>
      </c>
      <c r="M112" s="288" t="s">
        <v>45</v>
      </c>
      <c r="N112" s="288" t="s">
        <v>45</v>
      </c>
      <c r="O112" s="53">
        <f t="shared" si="1"/>
        <v>0</v>
      </c>
    </row>
    <row r="113" spans="1:15">
      <c r="A113" s="231"/>
      <c r="B113" s="288" t="s">
        <v>36</v>
      </c>
      <c r="C113" s="231">
        <v>160.95500000000001</v>
      </c>
      <c r="D113" s="231">
        <v>106.4371</v>
      </c>
      <c r="E113" s="231">
        <v>111.7527</v>
      </c>
      <c r="F113" s="231">
        <v>80.4084</v>
      </c>
      <c r="G113" s="231">
        <v>48.775500000000001</v>
      </c>
      <c r="H113" s="231">
        <v>32.896700000000003</v>
      </c>
      <c r="I113" s="231">
        <v>6.8289</v>
      </c>
      <c r="J113" s="231">
        <v>5.8024000000000004</v>
      </c>
      <c r="K113" s="231">
        <v>6.2323000000000004</v>
      </c>
      <c r="L113" s="231">
        <v>63.185899999999997</v>
      </c>
      <c r="M113" s="231">
        <v>37.711799999999997</v>
      </c>
      <c r="N113" s="231">
        <v>94.821799999999996</v>
      </c>
      <c r="O113" s="53">
        <f t="shared" si="1"/>
        <v>755.80850000000009</v>
      </c>
    </row>
    <row r="114" spans="1:15">
      <c r="A114" s="231"/>
      <c r="B114" s="288" t="s">
        <v>37</v>
      </c>
      <c r="C114" s="288" t="s">
        <v>45</v>
      </c>
      <c r="D114" s="288" t="s">
        <v>45</v>
      </c>
      <c r="E114" s="288" t="s">
        <v>45</v>
      </c>
      <c r="F114" s="288" t="s">
        <v>45</v>
      </c>
      <c r="G114" s="288" t="s">
        <v>45</v>
      </c>
      <c r="H114" s="288" t="s">
        <v>45</v>
      </c>
      <c r="I114" s="288" t="s">
        <v>45</v>
      </c>
      <c r="J114" s="288" t="s">
        <v>45</v>
      </c>
      <c r="K114" s="288" t="s">
        <v>45</v>
      </c>
      <c r="L114" s="288" t="s">
        <v>45</v>
      </c>
      <c r="M114" s="288" t="s">
        <v>45</v>
      </c>
      <c r="N114" s="288" t="s">
        <v>45</v>
      </c>
      <c r="O114" s="53">
        <f t="shared" si="1"/>
        <v>0</v>
      </c>
    </row>
    <row r="115" spans="1:15">
      <c r="A115" s="231"/>
      <c r="B115" s="288" t="s">
        <v>38</v>
      </c>
      <c r="C115" s="231">
        <v>73.599999999999994</v>
      </c>
      <c r="D115" s="231">
        <v>87.2</v>
      </c>
      <c r="E115" s="231">
        <v>84.6</v>
      </c>
      <c r="F115" s="231">
        <v>49.3</v>
      </c>
      <c r="G115" s="231">
        <v>36.1</v>
      </c>
      <c r="H115" s="231">
        <v>21.8</v>
      </c>
      <c r="I115" s="231">
        <v>16.3</v>
      </c>
      <c r="J115" s="231">
        <v>10.7</v>
      </c>
      <c r="K115" s="231">
        <v>24</v>
      </c>
      <c r="L115" s="231">
        <v>20.399999999999999</v>
      </c>
      <c r="M115" s="231">
        <v>39</v>
      </c>
      <c r="N115" s="231">
        <v>44.1</v>
      </c>
      <c r="O115" s="53">
        <f t="shared" si="1"/>
        <v>507.1</v>
      </c>
    </row>
    <row r="116" spans="1:15">
      <c r="A116" s="231"/>
      <c r="B116" s="288" t="s">
        <v>39</v>
      </c>
      <c r="C116" s="231">
        <v>122.5</v>
      </c>
      <c r="D116" s="231">
        <v>96.4</v>
      </c>
      <c r="E116" s="231">
        <v>84.463000000000008</v>
      </c>
      <c r="F116" s="231">
        <v>63.016000000000005</v>
      </c>
      <c r="G116" s="231">
        <v>25.585000000000001</v>
      </c>
      <c r="H116" s="231">
        <v>7.51</v>
      </c>
      <c r="I116" s="231">
        <v>3.1</v>
      </c>
      <c r="J116" s="231">
        <v>3.5</v>
      </c>
      <c r="K116" s="231">
        <v>3.6</v>
      </c>
      <c r="L116" s="231">
        <v>27.6</v>
      </c>
      <c r="M116" s="231">
        <v>59.786999999999999</v>
      </c>
      <c r="N116" s="231">
        <v>117</v>
      </c>
      <c r="O116" s="53">
        <f t="shared" si="1"/>
        <v>614.06100000000004</v>
      </c>
    </row>
    <row r="117" spans="1:15">
      <c r="A117" s="231"/>
      <c r="B117" s="288" t="s">
        <v>40</v>
      </c>
      <c r="C117" s="288" t="s">
        <v>45</v>
      </c>
      <c r="D117" s="288" t="s">
        <v>45</v>
      </c>
      <c r="E117" s="288" t="s">
        <v>45</v>
      </c>
      <c r="F117" s="288" t="s">
        <v>45</v>
      </c>
      <c r="G117" s="288" t="s">
        <v>45</v>
      </c>
      <c r="H117" s="288" t="s">
        <v>45</v>
      </c>
      <c r="I117" s="288" t="s">
        <v>45</v>
      </c>
      <c r="J117" s="288" t="s">
        <v>45</v>
      </c>
      <c r="K117" s="288" t="s">
        <v>45</v>
      </c>
      <c r="L117" s="288" t="s">
        <v>45</v>
      </c>
      <c r="M117" s="288" t="s">
        <v>45</v>
      </c>
      <c r="N117" s="288" t="s">
        <v>45</v>
      </c>
      <c r="O117" s="53">
        <f t="shared" si="1"/>
        <v>0</v>
      </c>
    </row>
    <row r="118" spans="1:15">
      <c r="A118" s="231"/>
      <c r="B118" s="288" t="s">
        <v>41</v>
      </c>
      <c r="C118" s="231">
        <v>1195.7289000000001</v>
      </c>
      <c r="D118" s="231">
        <v>1082.3359</v>
      </c>
      <c r="E118" s="231">
        <v>1085.1415999999999</v>
      </c>
      <c r="F118" s="231">
        <v>599.88890000000004</v>
      </c>
      <c r="G118" s="231">
        <v>379.1961</v>
      </c>
      <c r="H118" s="231">
        <v>319.16329999999999</v>
      </c>
      <c r="I118" s="231">
        <v>301.92899999999997</v>
      </c>
      <c r="J118" s="231">
        <v>277.27800000000002</v>
      </c>
      <c r="K118" s="231">
        <v>295.71809999999999</v>
      </c>
      <c r="L118" s="231">
        <v>399.80220000000003</v>
      </c>
      <c r="M118" s="231">
        <v>659.90129999999999</v>
      </c>
      <c r="N118" s="231">
        <v>1090.9157</v>
      </c>
      <c r="O118" s="53">
        <f t="shared" si="1"/>
        <v>7686.9989999999998</v>
      </c>
    </row>
    <row r="119" spans="1:15">
      <c r="A119" s="8"/>
      <c r="B119" s="9" t="s">
        <v>42</v>
      </c>
      <c r="C119" s="8">
        <v>2707.9985999999999</v>
      </c>
      <c r="D119" s="8">
        <v>2186.7019</v>
      </c>
      <c r="E119" s="8">
        <v>2159.8065999999999</v>
      </c>
      <c r="F119" s="8">
        <v>1629.5052000000001</v>
      </c>
      <c r="G119" s="8">
        <v>1315.2561000000001</v>
      </c>
      <c r="H119" s="8">
        <v>1112.7613000000001</v>
      </c>
      <c r="I119" s="8">
        <v>969.78160000000003</v>
      </c>
      <c r="J119" s="8">
        <v>700.99939999999992</v>
      </c>
      <c r="K119" s="8">
        <v>636.87760000000003</v>
      </c>
      <c r="L119" s="8">
        <v>784.87429999999995</v>
      </c>
      <c r="M119" s="8">
        <v>1379.2251000000001</v>
      </c>
      <c r="N119" s="8">
        <v>2000.5418</v>
      </c>
      <c r="O119" s="53">
        <f t="shared" si="1"/>
        <v>17584.3295</v>
      </c>
    </row>
    <row r="120" spans="1:15">
      <c r="A120" s="231"/>
      <c r="B120" s="288"/>
      <c r="C120" s="231"/>
      <c r="D120" s="231"/>
      <c r="E120" s="231"/>
      <c r="F120" s="231"/>
      <c r="G120" s="231"/>
      <c r="H120" s="231"/>
      <c r="I120" s="231"/>
      <c r="J120" s="231"/>
      <c r="K120" s="231"/>
      <c r="L120" s="231"/>
      <c r="M120" s="231"/>
      <c r="N120" s="231"/>
      <c r="O120" s="53"/>
    </row>
    <row r="121" spans="1:15">
      <c r="A121" s="288" t="s">
        <v>49</v>
      </c>
      <c r="B121" s="288" t="s">
        <v>26</v>
      </c>
      <c r="C121" s="231">
        <v>65778.173599999995</v>
      </c>
      <c r="D121" s="231">
        <v>68049.605800000005</v>
      </c>
      <c r="E121" s="231">
        <v>55357.978599999995</v>
      </c>
      <c r="F121" s="231">
        <v>34266.389600000002</v>
      </c>
      <c r="G121" s="231">
        <v>21563.162199999995</v>
      </c>
      <c r="H121" s="231">
        <v>17012.615000000002</v>
      </c>
      <c r="I121" s="231">
        <v>17426.738099999999</v>
      </c>
      <c r="J121" s="231">
        <v>16416.271099999998</v>
      </c>
      <c r="K121" s="231">
        <v>15096.043299999999</v>
      </c>
      <c r="L121" s="231">
        <v>21398.704199999996</v>
      </c>
      <c r="M121" s="231">
        <v>32557.970099999999</v>
      </c>
      <c r="N121" s="231">
        <v>53646.776600000005</v>
      </c>
      <c r="O121" s="53">
        <f t="shared" si="1"/>
        <v>418570.42819999997</v>
      </c>
    </row>
    <row r="122" spans="1:15">
      <c r="A122" s="231"/>
      <c r="B122" s="288" t="s">
        <v>27</v>
      </c>
      <c r="C122" s="231">
        <v>18225.477499999997</v>
      </c>
      <c r="D122" s="231">
        <v>15754.7961</v>
      </c>
      <c r="E122" s="231">
        <v>6488.0949999999993</v>
      </c>
      <c r="F122" s="231">
        <v>8525.738800000001</v>
      </c>
      <c r="G122" s="231">
        <v>3495.3822999999998</v>
      </c>
      <c r="H122" s="231">
        <v>2821.4911999999999</v>
      </c>
      <c r="I122" s="231">
        <v>1576.0826999999999</v>
      </c>
      <c r="J122" s="231">
        <v>1636.4882</v>
      </c>
      <c r="K122" s="231">
        <v>1770.7391</v>
      </c>
      <c r="L122" s="231">
        <v>4158.1593000000003</v>
      </c>
      <c r="M122" s="231">
        <v>10164.4298</v>
      </c>
      <c r="N122" s="231">
        <v>15560.413099999998</v>
      </c>
      <c r="O122" s="53">
        <f t="shared" si="1"/>
        <v>90177.293099999981</v>
      </c>
    </row>
    <row r="123" spans="1:15">
      <c r="A123" s="231"/>
      <c r="B123" s="294" t="s">
        <v>28</v>
      </c>
      <c r="C123" s="293">
        <v>124918.26729999999</v>
      </c>
      <c r="D123" s="293">
        <v>125958.58410000002</v>
      </c>
      <c r="E123" s="293">
        <v>102812.2065</v>
      </c>
      <c r="F123" s="293">
        <v>87552.902900000001</v>
      </c>
      <c r="G123" s="293">
        <v>70659.677899999995</v>
      </c>
      <c r="H123" s="293">
        <v>50584.706099999996</v>
      </c>
      <c r="I123" s="293">
        <v>37756.358899999999</v>
      </c>
      <c r="J123" s="293">
        <v>38593.101699999999</v>
      </c>
      <c r="K123" s="293">
        <v>43731.712800000001</v>
      </c>
      <c r="L123" s="293">
        <v>76901.826700000005</v>
      </c>
      <c r="M123" s="293">
        <v>88359.292700000005</v>
      </c>
      <c r="N123" s="293">
        <v>119419.469</v>
      </c>
      <c r="O123" s="54">
        <f t="shared" si="1"/>
        <v>967248.10659999994</v>
      </c>
    </row>
    <row r="124" spans="1:15">
      <c r="A124" s="231"/>
      <c r="B124" s="288" t="s">
        <v>29</v>
      </c>
      <c r="C124" s="231">
        <v>144568.94210000001</v>
      </c>
      <c r="D124" s="231">
        <v>144226.04039999997</v>
      </c>
      <c r="E124" s="231">
        <v>97703.629600000029</v>
      </c>
      <c r="F124" s="231">
        <v>84273.205500000011</v>
      </c>
      <c r="G124" s="231">
        <v>59914.362999999998</v>
      </c>
      <c r="H124" s="231">
        <v>49291.207900000001</v>
      </c>
      <c r="I124" s="231">
        <v>60167.718999999997</v>
      </c>
      <c r="J124" s="231">
        <v>48488.640699999996</v>
      </c>
      <c r="K124" s="231">
        <v>48700.529899999994</v>
      </c>
      <c r="L124" s="231">
        <v>61170.590299999996</v>
      </c>
      <c r="M124" s="231">
        <v>90504.257500000007</v>
      </c>
      <c r="N124" s="231">
        <v>124733.41780000001</v>
      </c>
      <c r="O124" s="53">
        <f t="shared" si="1"/>
        <v>1013742.5437000002</v>
      </c>
    </row>
    <row r="125" spans="1:15">
      <c r="A125" s="231"/>
      <c r="B125" s="288" t="s">
        <v>30</v>
      </c>
      <c r="C125" s="231">
        <v>11971.196799999998</v>
      </c>
      <c r="D125" s="231">
        <v>9549.6884000000009</v>
      </c>
      <c r="E125" s="231">
        <v>9281.2873000000018</v>
      </c>
      <c r="F125" s="231">
        <v>5021.693400000001</v>
      </c>
      <c r="G125" s="231">
        <v>3924.0136000000002</v>
      </c>
      <c r="H125" s="231">
        <v>2318.3666000000003</v>
      </c>
      <c r="I125" s="231">
        <v>1994.729</v>
      </c>
      <c r="J125" s="231">
        <v>1973.8435000000002</v>
      </c>
      <c r="K125" s="231">
        <v>2084.6021000000001</v>
      </c>
      <c r="L125" s="231">
        <v>2556.1259000000005</v>
      </c>
      <c r="M125" s="231">
        <v>5229.9453000000003</v>
      </c>
      <c r="N125" s="231">
        <v>7315.1034000000009</v>
      </c>
      <c r="O125" s="53">
        <f t="shared" si="1"/>
        <v>63220.595300000001</v>
      </c>
    </row>
    <row r="126" spans="1:15">
      <c r="A126" s="231"/>
      <c r="B126" s="288" t="s">
        <v>31</v>
      </c>
      <c r="C126" s="231">
        <v>104691.086</v>
      </c>
      <c r="D126" s="231">
        <v>125545.2524</v>
      </c>
      <c r="E126" s="231">
        <v>101599.6513</v>
      </c>
      <c r="F126" s="231">
        <v>80503.222800000003</v>
      </c>
      <c r="G126" s="231">
        <v>68943.007299999997</v>
      </c>
      <c r="H126" s="231">
        <v>55324.352899999998</v>
      </c>
      <c r="I126" s="231">
        <v>52849.203800000003</v>
      </c>
      <c r="J126" s="231">
        <v>53303.586300000003</v>
      </c>
      <c r="K126" s="231">
        <v>54869.934699999998</v>
      </c>
      <c r="L126" s="231">
        <v>54277.257299999997</v>
      </c>
      <c r="M126" s="231">
        <v>73514.360199999996</v>
      </c>
      <c r="N126" s="231">
        <v>83381.165699999998</v>
      </c>
      <c r="O126" s="53">
        <f t="shared" si="1"/>
        <v>908802.08070000005</v>
      </c>
    </row>
    <row r="127" spans="1:15">
      <c r="A127" s="231"/>
      <c r="B127" s="288" t="s">
        <v>32</v>
      </c>
      <c r="C127" s="231">
        <v>80870.518700000001</v>
      </c>
      <c r="D127" s="231">
        <v>71872.649399999995</v>
      </c>
      <c r="E127" s="231">
        <v>30536.775900000001</v>
      </c>
      <c r="F127" s="231">
        <v>38088.379499999995</v>
      </c>
      <c r="G127" s="231">
        <v>27037.377</v>
      </c>
      <c r="H127" s="231">
        <v>14689.1585</v>
      </c>
      <c r="I127" s="231">
        <v>17015.626799999998</v>
      </c>
      <c r="J127" s="231">
        <v>11664.3145</v>
      </c>
      <c r="K127" s="231">
        <v>13211.320899999999</v>
      </c>
      <c r="L127" s="231">
        <v>23243.9126</v>
      </c>
      <c r="M127" s="231">
        <v>38411.130799999999</v>
      </c>
      <c r="N127" s="231">
        <v>51841.032499999994</v>
      </c>
      <c r="O127" s="53">
        <f t="shared" si="1"/>
        <v>418482.19709999993</v>
      </c>
    </row>
    <row r="128" spans="1:15">
      <c r="A128" s="231"/>
      <c r="B128" s="288" t="s">
        <v>33</v>
      </c>
      <c r="C128" s="231">
        <v>2696.9899</v>
      </c>
      <c r="D128" s="231">
        <v>2489.2273999999998</v>
      </c>
      <c r="E128" s="231">
        <v>1852.7462</v>
      </c>
      <c r="F128" s="231">
        <v>1537.1966</v>
      </c>
      <c r="G128" s="231">
        <v>765.25300000000004</v>
      </c>
      <c r="H128" s="231">
        <v>415.10410000000002</v>
      </c>
      <c r="I128" s="231">
        <v>481.6275</v>
      </c>
      <c r="J128" s="231">
        <v>539.08950000000004</v>
      </c>
      <c r="K128" s="231">
        <v>723.54680000000008</v>
      </c>
      <c r="L128" s="231">
        <v>1172.9956000000002</v>
      </c>
      <c r="M128" s="231">
        <v>2013.8462</v>
      </c>
      <c r="N128" s="231">
        <v>2328.2222000000002</v>
      </c>
      <c r="O128" s="53">
        <f t="shared" si="1"/>
        <v>17015.845000000001</v>
      </c>
    </row>
    <row r="129" spans="1:15">
      <c r="A129" s="231"/>
      <c r="B129" s="288" t="s">
        <v>34</v>
      </c>
      <c r="C129" s="231">
        <v>13518.913999999999</v>
      </c>
      <c r="D129" s="231">
        <v>12623.706400000001</v>
      </c>
      <c r="E129" s="231">
        <v>10242.735999999999</v>
      </c>
      <c r="F129" s="231">
        <v>5344.5766000000003</v>
      </c>
      <c r="G129" s="231">
        <v>2299.4592000000002</v>
      </c>
      <c r="H129" s="231">
        <v>1632.9526999999998</v>
      </c>
      <c r="I129" s="231">
        <v>1367.4144000000001</v>
      </c>
      <c r="J129" s="231">
        <v>1460.0783999999999</v>
      </c>
      <c r="K129" s="231">
        <v>1391.8253999999999</v>
      </c>
      <c r="L129" s="231">
        <v>3339.2879999999996</v>
      </c>
      <c r="M129" s="231">
        <v>4797.5967000000001</v>
      </c>
      <c r="N129" s="231">
        <v>11525.7583</v>
      </c>
      <c r="O129" s="53">
        <f t="shared" si="1"/>
        <v>69544.306100000002</v>
      </c>
    </row>
    <row r="130" spans="1:15">
      <c r="A130" s="231"/>
      <c r="B130" s="288" t="s">
        <v>35</v>
      </c>
      <c r="C130" s="231">
        <v>5252.7343999999994</v>
      </c>
      <c r="D130" s="231">
        <v>4903.2795000000006</v>
      </c>
      <c r="E130" s="231">
        <v>2660.1473000000005</v>
      </c>
      <c r="F130" s="231">
        <v>1715.2928999999999</v>
      </c>
      <c r="G130" s="231">
        <v>654.63790000000006</v>
      </c>
      <c r="H130" s="231">
        <v>453.73789999999997</v>
      </c>
      <c r="I130" s="231">
        <v>490.74090000000001</v>
      </c>
      <c r="J130" s="231">
        <v>482.05340000000001</v>
      </c>
      <c r="K130" s="231">
        <v>427.3254</v>
      </c>
      <c r="L130" s="231">
        <v>954.38150000000007</v>
      </c>
      <c r="M130" s="231">
        <v>1497.7683999999999</v>
      </c>
      <c r="N130" s="231">
        <v>4288.5331999999999</v>
      </c>
      <c r="O130" s="53">
        <f t="shared" si="1"/>
        <v>23780.632700000002</v>
      </c>
    </row>
    <row r="131" spans="1:15">
      <c r="A131" s="231"/>
      <c r="B131" s="288" t="s">
        <v>36</v>
      </c>
      <c r="C131" s="231">
        <v>76249.261999999988</v>
      </c>
      <c r="D131" s="231">
        <v>75741.953200000004</v>
      </c>
      <c r="E131" s="231">
        <v>57224.122399999993</v>
      </c>
      <c r="F131" s="231">
        <v>49312.448799999998</v>
      </c>
      <c r="G131" s="231">
        <v>36675.414000000004</v>
      </c>
      <c r="H131" s="231">
        <v>28254.916399999998</v>
      </c>
      <c r="I131" s="231">
        <v>26141.498</v>
      </c>
      <c r="J131" s="231">
        <v>22948.887600000002</v>
      </c>
      <c r="K131" s="231">
        <v>20063.768700000001</v>
      </c>
      <c r="L131" s="231">
        <v>26241.848999999998</v>
      </c>
      <c r="M131" s="231">
        <v>38413.108099999998</v>
      </c>
      <c r="N131" s="231">
        <v>58794.135999999999</v>
      </c>
      <c r="O131" s="53">
        <f t="shared" si="1"/>
        <v>516061.36420000001</v>
      </c>
    </row>
    <row r="132" spans="1:15">
      <c r="A132" s="231"/>
      <c r="B132" s="288" t="s">
        <v>37</v>
      </c>
      <c r="C132" s="231">
        <v>4046.0796</v>
      </c>
      <c r="D132" s="231">
        <v>3372.1312000000003</v>
      </c>
      <c r="E132" s="231">
        <v>2401.2208000000001</v>
      </c>
      <c r="F132" s="231">
        <v>1760.8546999999999</v>
      </c>
      <c r="G132" s="231">
        <v>801.57910000000004</v>
      </c>
      <c r="H132" s="231">
        <v>572.30360000000007</v>
      </c>
      <c r="I132" s="231">
        <v>555.16770000000008</v>
      </c>
      <c r="J132" s="231">
        <v>639.20360000000005</v>
      </c>
      <c r="K132" s="231">
        <v>542.75570000000005</v>
      </c>
      <c r="L132" s="231">
        <v>1023.3911000000001</v>
      </c>
      <c r="M132" s="231">
        <v>1601.4511</v>
      </c>
      <c r="N132" s="231">
        <v>2905.1394999999998</v>
      </c>
      <c r="O132" s="53">
        <f t="shared" si="1"/>
        <v>20221.277700000002</v>
      </c>
    </row>
    <row r="133" spans="1:15">
      <c r="A133" s="231"/>
      <c r="B133" s="288" t="s">
        <v>38</v>
      </c>
      <c r="C133" s="231">
        <v>83881.065499999997</v>
      </c>
      <c r="D133" s="231">
        <v>84598.213800000012</v>
      </c>
      <c r="E133" s="231">
        <v>31280.178999999996</v>
      </c>
      <c r="F133" s="231">
        <v>65722.887400000007</v>
      </c>
      <c r="G133" s="231">
        <v>51858.145700000001</v>
      </c>
      <c r="H133" s="231">
        <v>43115.514200000005</v>
      </c>
      <c r="I133" s="231">
        <v>42077.078200000004</v>
      </c>
      <c r="J133" s="231">
        <v>44197.206200000001</v>
      </c>
      <c r="K133" s="231">
        <v>42018.619699999996</v>
      </c>
      <c r="L133" s="231">
        <v>40952.9352</v>
      </c>
      <c r="M133" s="231">
        <v>54482.036</v>
      </c>
      <c r="N133" s="231">
        <v>62535.104400000004</v>
      </c>
      <c r="O133" s="53">
        <f t="shared" si="1"/>
        <v>646718.98529999994</v>
      </c>
    </row>
    <row r="134" spans="1:15">
      <c r="A134" s="231"/>
      <c r="B134" s="288" t="s">
        <v>39</v>
      </c>
      <c r="C134" s="231">
        <v>90227.906600000002</v>
      </c>
      <c r="D134" s="231">
        <v>93018.639299999981</v>
      </c>
      <c r="E134" s="231">
        <v>69627.934099999999</v>
      </c>
      <c r="F134" s="231">
        <v>57355.487800000003</v>
      </c>
      <c r="G134" s="231">
        <v>38401.959499999997</v>
      </c>
      <c r="H134" s="231">
        <v>24128.7765</v>
      </c>
      <c r="I134" s="231">
        <v>22763.214899999999</v>
      </c>
      <c r="J134" s="231">
        <v>24302.033199999998</v>
      </c>
      <c r="K134" s="231">
        <v>25869.642799999994</v>
      </c>
      <c r="L134" s="231">
        <v>34998.229899999998</v>
      </c>
      <c r="M134" s="231">
        <v>59128.647900000004</v>
      </c>
      <c r="N134" s="231">
        <v>71204.772900000011</v>
      </c>
      <c r="O134" s="53">
        <f t="shared" si="1"/>
        <v>611027.2453999999</v>
      </c>
    </row>
    <row r="135" spans="1:15">
      <c r="A135" s="231"/>
      <c r="B135" s="288" t="s">
        <v>40</v>
      </c>
      <c r="C135" s="231">
        <v>7920.6041999999998</v>
      </c>
      <c r="D135" s="231">
        <v>12578.530299999999</v>
      </c>
      <c r="E135" s="231">
        <v>11275.9329</v>
      </c>
      <c r="F135" s="231">
        <v>5420.0895</v>
      </c>
      <c r="G135" s="231">
        <v>2819.2684999999997</v>
      </c>
      <c r="H135" s="231">
        <v>2228.6652999999997</v>
      </c>
      <c r="I135" s="231">
        <v>1849.3275000000001</v>
      </c>
      <c r="J135" s="231">
        <v>2027.9578999999999</v>
      </c>
      <c r="K135" s="231">
        <v>1777.2327</v>
      </c>
      <c r="L135" s="231">
        <v>2180.3373000000001</v>
      </c>
      <c r="M135" s="231">
        <v>5473.4450999999999</v>
      </c>
      <c r="N135" s="231">
        <v>7444.567</v>
      </c>
      <c r="O135" s="53">
        <f t="shared" si="1"/>
        <v>62995.958200000001</v>
      </c>
    </row>
    <row r="136" spans="1:15">
      <c r="A136" s="231"/>
      <c r="B136" s="288" t="s">
        <v>41</v>
      </c>
      <c r="C136" s="231">
        <v>99224.180699999997</v>
      </c>
      <c r="D136" s="231">
        <v>91730.258600000001</v>
      </c>
      <c r="E136" s="231">
        <v>81823.704400000002</v>
      </c>
      <c r="F136" s="231">
        <v>66048.067500000005</v>
      </c>
      <c r="G136" s="231">
        <v>46161.134700000002</v>
      </c>
      <c r="H136" s="231">
        <v>37310.291900000004</v>
      </c>
      <c r="I136" s="231">
        <v>37083.8799</v>
      </c>
      <c r="J136" s="231">
        <v>31733.3855</v>
      </c>
      <c r="K136" s="231">
        <v>30716.138799999997</v>
      </c>
      <c r="L136" s="231">
        <v>35472.202799999999</v>
      </c>
      <c r="M136" s="231">
        <v>46862.275099999999</v>
      </c>
      <c r="N136" s="231">
        <v>66964.856899999999</v>
      </c>
      <c r="O136" s="53">
        <f t="shared" si="1"/>
        <v>671130.37679999997</v>
      </c>
    </row>
    <row r="137" spans="1:15">
      <c r="A137" s="8"/>
      <c r="B137" s="9" t="s">
        <v>42</v>
      </c>
      <c r="C137" s="8">
        <v>934041.39889999991</v>
      </c>
      <c r="D137" s="8">
        <v>942012.55630000005</v>
      </c>
      <c r="E137" s="8">
        <v>672168.34729999991</v>
      </c>
      <c r="F137" s="8">
        <v>592448.43430000008</v>
      </c>
      <c r="G137" s="8">
        <v>435973.83489999996</v>
      </c>
      <c r="H137" s="8">
        <v>330154.16080000001</v>
      </c>
      <c r="I137" s="8">
        <v>321596.40730000002</v>
      </c>
      <c r="J137" s="8">
        <v>300406.14130000002</v>
      </c>
      <c r="K137" s="8">
        <v>302995.73880000005</v>
      </c>
      <c r="L137" s="8">
        <v>390042.18670000002</v>
      </c>
      <c r="M137" s="8">
        <v>553011.5610000001</v>
      </c>
      <c r="N137" s="8">
        <v>743888.46849999996</v>
      </c>
      <c r="O137" s="53">
        <f t="shared" si="1"/>
        <v>6518739.2361000013</v>
      </c>
    </row>
  </sheetData>
  <mergeCells count="1">
    <mergeCell ref="C10:N10"/>
  </mergeCells>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O137"/>
  <sheetViews>
    <sheetView zoomScale="80" zoomScaleNormal="80" workbookViewId="0">
      <selection activeCell="A2" sqref="A2:XFD2"/>
    </sheetView>
  </sheetViews>
  <sheetFormatPr defaultRowHeight="15"/>
  <cols>
    <col min="1" max="1" width="39.140625" customWidth="1"/>
    <col min="2" max="2" width="34.7109375" bestFit="1" customWidth="1"/>
    <col min="3" max="8" width="15.140625" bestFit="1" customWidth="1"/>
    <col min="9" max="14" width="10.7109375" customWidth="1"/>
    <col min="15" max="15" width="10.5703125" style="1" bestFit="1" customWidth="1"/>
  </cols>
  <sheetData>
    <row r="1" spans="1:15" s="697" customFormat="1">
      <c r="A1" s="74" t="s">
        <v>2251</v>
      </c>
      <c r="O1" s="700"/>
    </row>
    <row r="2" spans="1:15" s="697" customFormat="1">
      <c r="A2" s="707"/>
      <c r="O2" s="700"/>
    </row>
    <row r="3" spans="1:15">
      <c r="A3" s="3" t="s">
        <v>3</v>
      </c>
      <c r="B3" s="12"/>
      <c r="C3" s="12"/>
      <c r="D3" s="12"/>
      <c r="E3" s="12"/>
      <c r="F3" s="12"/>
      <c r="G3" s="12"/>
      <c r="H3" s="12"/>
      <c r="I3" s="12"/>
    </row>
    <row r="4" spans="1:15">
      <c r="A4" s="4" t="s">
        <v>4</v>
      </c>
    </row>
    <row r="5" spans="1:15">
      <c r="A5" s="4" t="s">
        <v>5</v>
      </c>
    </row>
    <row r="6" spans="1:15">
      <c r="A6" s="4" t="s">
        <v>6</v>
      </c>
    </row>
    <row r="7" spans="1:15">
      <c r="A7" s="4" t="s">
        <v>7</v>
      </c>
    </row>
    <row r="8" spans="1:15">
      <c r="A8" s="4" t="s">
        <v>8</v>
      </c>
    </row>
    <row r="9" spans="1:15">
      <c r="A9" s="4" t="s">
        <v>9</v>
      </c>
    </row>
    <row r="10" spans="1:15" ht="15.75">
      <c r="C10" s="1141" t="s">
        <v>881</v>
      </c>
      <c r="D10" s="1141"/>
      <c r="E10" s="1141"/>
      <c r="F10" s="1141"/>
      <c r="G10" s="1141"/>
      <c r="H10" s="1141"/>
      <c r="I10" s="1141"/>
      <c r="J10" s="1141"/>
      <c r="K10" s="1141"/>
      <c r="L10" s="1141"/>
      <c r="M10" s="1141"/>
      <c r="N10" s="1141"/>
    </row>
    <row r="11" spans="1:15">
      <c r="C11" s="4" t="s">
        <v>11</v>
      </c>
      <c r="D11" s="4" t="s">
        <v>12</v>
      </c>
      <c r="E11" s="4" t="s">
        <v>13</v>
      </c>
      <c r="F11" s="4" t="s">
        <v>14</v>
      </c>
      <c r="G11" s="4" t="s">
        <v>15</v>
      </c>
      <c r="H11" s="4" t="s">
        <v>16</v>
      </c>
      <c r="I11" s="4" t="s">
        <v>17</v>
      </c>
      <c r="J11" s="4" t="s">
        <v>18</v>
      </c>
      <c r="K11" s="4" t="s">
        <v>19</v>
      </c>
      <c r="L11" s="4" t="s">
        <v>20</v>
      </c>
      <c r="M11" s="4" t="s">
        <v>21</v>
      </c>
      <c r="N11" s="4" t="s">
        <v>22</v>
      </c>
      <c r="O11" s="10" t="s">
        <v>50</v>
      </c>
    </row>
    <row r="12" spans="1:15">
      <c r="C12" s="290" t="s">
        <v>882</v>
      </c>
      <c r="D12" s="290" t="s">
        <v>882</v>
      </c>
      <c r="E12" s="290" t="s">
        <v>882</v>
      </c>
      <c r="F12" s="290" t="s">
        <v>882</v>
      </c>
      <c r="G12" s="290" t="s">
        <v>882</v>
      </c>
      <c r="H12" s="290" t="s">
        <v>882</v>
      </c>
      <c r="I12" s="290" t="s">
        <v>882</v>
      </c>
      <c r="J12" s="290" t="s">
        <v>882</v>
      </c>
      <c r="K12" s="290" t="s">
        <v>882</v>
      </c>
      <c r="L12" s="290" t="s">
        <v>880</v>
      </c>
      <c r="M12" s="290" t="s">
        <v>880</v>
      </c>
      <c r="N12" s="290" t="s">
        <v>880</v>
      </c>
    </row>
    <row r="13" spans="1:15">
      <c r="A13" s="288" t="s">
        <v>25</v>
      </c>
      <c r="B13" s="288" t="s">
        <v>26</v>
      </c>
      <c r="C13" s="231">
        <v>18248</v>
      </c>
      <c r="D13" s="231">
        <v>18495.5</v>
      </c>
      <c r="E13" s="231">
        <v>14634.6</v>
      </c>
      <c r="F13" s="231">
        <v>11243.9</v>
      </c>
      <c r="G13" s="231">
        <v>4728.8999999999996</v>
      </c>
      <c r="H13" s="231">
        <v>2704.9</v>
      </c>
      <c r="I13" s="231">
        <v>1822.4</v>
      </c>
      <c r="J13" s="231">
        <v>1617.1</v>
      </c>
      <c r="K13" s="231">
        <v>1689.5</v>
      </c>
      <c r="L13" s="231">
        <v>2675.3</v>
      </c>
      <c r="M13" s="231">
        <v>7554.7</v>
      </c>
      <c r="N13" s="231">
        <v>16866.2</v>
      </c>
      <c r="O13" s="53">
        <f>SUM(C13:N13)</f>
        <v>102280.99999999999</v>
      </c>
    </row>
    <row r="14" spans="1:15">
      <c r="A14" s="231"/>
      <c r="B14" s="288" t="s">
        <v>27</v>
      </c>
      <c r="C14" s="231">
        <v>394</v>
      </c>
      <c r="D14" s="231">
        <v>320.5</v>
      </c>
      <c r="E14" s="231">
        <v>277.5</v>
      </c>
      <c r="F14" s="231">
        <v>146</v>
      </c>
      <c r="G14" s="231">
        <v>72.7</v>
      </c>
      <c r="H14" s="231">
        <v>19.399999999999999</v>
      </c>
      <c r="I14" s="231">
        <v>19.8</v>
      </c>
      <c r="J14" s="231">
        <v>16.5</v>
      </c>
      <c r="K14" s="231">
        <v>17.600000000000001</v>
      </c>
      <c r="L14" s="231">
        <v>79.8</v>
      </c>
      <c r="M14" s="231">
        <v>213.3</v>
      </c>
      <c r="N14" s="231">
        <v>315.89999999999998</v>
      </c>
      <c r="O14" s="53">
        <f t="shared" ref="O14:O77" si="0">SUM(C14:N14)</f>
        <v>1893</v>
      </c>
    </row>
    <row r="15" spans="1:15">
      <c r="A15" s="231"/>
      <c r="B15" s="294" t="s">
        <v>28</v>
      </c>
      <c r="C15" s="293">
        <v>41933.681700000001</v>
      </c>
      <c r="D15" s="293">
        <v>37432.508700000006</v>
      </c>
      <c r="E15" s="293">
        <v>30270.623100000001</v>
      </c>
      <c r="F15" s="293">
        <v>19272.873800000001</v>
      </c>
      <c r="G15" s="293">
        <v>9231.8570999999993</v>
      </c>
      <c r="H15" s="293">
        <v>5602.3205999999991</v>
      </c>
      <c r="I15" s="293">
        <v>4826.2281000000003</v>
      </c>
      <c r="J15" s="293">
        <v>3978.9863</v>
      </c>
      <c r="K15" s="293">
        <v>4900.5215000000007</v>
      </c>
      <c r="L15" s="293">
        <v>9665.9444999999996</v>
      </c>
      <c r="M15" s="293">
        <v>22491.519500000002</v>
      </c>
      <c r="N15" s="293">
        <v>40354.7546</v>
      </c>
      <c r="O15" s="54">
        <f t="shared" si="0"/>
        <v>229961.81950000004</v>
      </c>
    </row>
    <row r="16" spans="1:15">
      <c r="A16" s="231"/>
      <c r="B16" s="288" t="s">
        <v>29</v>
      </c>
      <c r="C16" s="231">
        <v>40623.199999999997</v>
      </c>
      <c r="D16" s="231">
        <v>36783.800000000003</v>
      </c>
      <c r="E16" s="231">
        <v>27051.599999999999</v>
      </c>
      <c r="F16" s="231">
        <v>16535.5</v>
      </c>
      <c r="G16" s="231">
        <v>7208.4</v>
      </c>
      <c r="H16" s="231">
        <v>3216.6</v>
      </c>
      <c r="I16" s="231">
        <v>3286.8</v>
      </c>
      <c r="J16" s="231">
        <v>2885.2</v>
      </c>
      <c r="K16" s="231">
        <v>2854.5</v>
      </c>
      <c r="L16" s="231">
        <v>6822</v>
      </c>
      <c r="M16" s="231">
        <v>20444.2</v>
      </c>
      <c r="N16" s="231">
        <v>35579.4</v>
      </c>
      <c r="O16" s="53">
        <f t="shared" si="0"/>
        <v>203291.2</v>
      </c>
    </row>
    <row r="17" spans="1:15">
      <c r="A17" s="231"/>
      <c r="B17" s="288" t="s">
        <v>30</v>
      </c>
      <c r="C17" s="231">
        <v>1806.3</v>
      </c>
      <c r="D17" s="231">
        <v>1924.1</v>
      </c>
      <c r="E17" s="231">
        <v>1628.4</v>
      </c>
      <c r="F17" s="231">
        <v>1313.2</v>
      </c>
      <c r="G17" s="231">
        <v>558</v>
      </c>
      <c r="H17" s="231">
        <v>289.3</v>
      </c>
      <c r="I17" s="231">
        <v>174.5</v>
      </c>
      <c r="J17" s="231">
        <v>116.5</v>
      </c>
      <c r="K17" s="231">
        <v>130</v>
      </c>
      <c r="L17" s="231">
        <v>205</v>
      </c>
      <c r="M17" s="231">
        <v>710.8</v>
      </c>
      <c r="N17" s="231">
        <v>1855.7</v>
      </c>
      <c r="O17" s="53">
        <f t="shared" si="0"/>
        <v>10711.8</v>
      </c>
    </row>
    <row r="18" spans="1:15">
      <c r="A18" s="231"/>
      <c r="B18" s="288" t="s">
        <v>31</v>
      </c>
      <c r="C18" s="231">
        <v>21875.852500000001</v>
      </c>
      <c r="D18" s="231">
        <v>23460.034800000001</v>
      </c>
      <c r="E18" s="231">
        <v>19911.892200000002</v>
      </c>
      <c r="F18" s="231">
        <v>14803.740100000001</v>
      </c>
      <c r="G18" s="231">
        <v>7083.1734000000006</v>
      </c>
      <c r="H18" s="231">
        <v>4652.2631000000001</v>
      </c>
      <c r="I18" s="231">
        <v>2585.8270000000002</v>
      </c>
      <c r="J18" s="231">
        <v>2967.1594</v>
      </c>
      <c r="K18" s="231">
        <v>2634.3714</v>
      </c>
      <c r="L18" s="231">
        <v>3447.9031</v>
      </c>
      <c r="M18" s="231">
        <v>8391.5447999999997</v>
      </c>
      <c r="N18" s="231">
        <v>20370.391599999999</v>
      </c>
      <c r="O18" s="53">
        <f t="shared" si="0"/>
        <v>132184.15340000001</v>
      </c>
    </row>
    <row r="19" spans="1:15">
      <c r="A19" s="231"/>
      <c r="B19" s="288" t="s">
        <v>32</v>
      </c>
      <c r="C19" s="231">
        <v>2622.9025999999999</v>
      </c>
      <c r="D19" s="231">
        <v>2965.8703</v>
      </c>
      <c r="E19" s="231">
        <v>2096.8068000000003</v>
      </c>
      <c r="F19" s="231">
        <v>1476.7910999999999</v>
      </c>
      <c r="G19" s="231">
        <v>578.19170000000008</v>
      </c>
      <c r="H19" s="231">
        <v>297.71980000000002</v>
      </c>
      <c r="I19" s="231">
        <v>155.1</v>
      </c>
      <c r="J19" s="231">
        <v>142.30000000000001</v>
      </c>
      <c r="K19" s="231">
        <v>147.30000000000001</v>
      </c>
      <c r="L19" s="231">
        <v>372.99579999999997</v>
      </c>
      <c r="M19" s="231">
        <v>1271.6072999999999</v>
      </c>
      <c r="N19" s="231">
        <v>2747.7145999999998</v>
      </c>
      <c r="O19" s="53">
        <f t="shared" si="0"/>
        <v>14875.3</v>
      </c>
    </row>
    <row r="20" spans="1:15">
      <c r="A20" s="231"/>
      <c r="B20" s="288" t="s">
        <v>33</v>
      </c>
      <c r="C20" s="231">
        <v>720.3</v>
      </c>
      <c r="D20" s="231">
        <v>788.7</v>
      </c>
      <c r="E20" s="231">
        <v>609.20000000000005</v>
      </c>
      <c r="F20" s="231">
        <v>328.6</v>
      </c>
      <c r="G20" s="231">
        <v>149.19999999999999</v>
      </c>
      <c r="H20" s="231">
        <v>52.3</v>
      </c>
      <c r="I20" s="231">
        <v>41</v>
      </c>
      <c r="J20" s="231">
        <v>39.5</v>
      </c>
      <c r="K20" s="231">
        <v>57.2</v>
      </c>
      <c r="L20" s="231">
        <v>220</v>
      </c>
      <c r="M20" s="231">
        <v>581.4</v>
      </c>
      <c r="N20" s="231">
        <v>780.7</v>
      </c>
      <c r="O20" s="53">
        <f t="shared" si="0"/>
        <v>4368.0999999999995</v>
      </c>
    </row>
    <row r="21" spans="1:15">
      <c r="A21" s="231"/>
      <c r="B21" s="288" t="s">
        <v>34</v>
      </c>
      <c r="C21" s="231">
        <v>5139.5457999999999</v>
      </c>
      <c r="D21" s="231">
        <v>5198.9734999999991</v>
      </c>
      <c r="E21" s="231">
        <v>3674.2984999999999</v>
      </c>
      <c r="F21" s="231">
        <v>1938.0354</v>
      </c>
      <c r="G21" s="231">
        <v>957.3719000000001</v>
      </c>
      <c r="H21" s="231">
        <v>607.5</v>
      </c>
      <c r="I21" s="231">
        <v>481.8</v>
      </c>
      <c r="J21" s="231">
        <v>471.4</v>
      </c>
      <c r="K21" s="231">
        <v>473.4</v>
      </c>
      <c r="L21" s="231">
        <v>1256.5</v>
      </c>
      <c r="M21" s="231">
        <v>3257.2</v>
      </c>
      <c r="N21" s="231">
        <v>4891.5</v>
      </c>
      <c r="O21" s="53">
        <f t="shared" si="0"/>
        <v>28347.525100000006</v>
      </c>
    </row>
    <row r="22" spans="1:15">
      <c r="A22" s="231"/>
      <c r="B22" s="288" t="s">
        <v>35</v>
      </c>
      <c r="C22" s="231">
        <v>1313.3</v>
      </c>
      <c r="D22" s="231">
        <v>1044.2</v>
      </c>
      <c r="E22" s="231">
        <v>871.1</v>
      </c>
      <c r="F22" s="231">
        <v>434.9</v>
      </c>
      <c r="G22" s="231">
        <v>247</v>
      </c>
      <c r="H22" s="231">
        <v>87</v>
      </c>
      <c r="I22" s="231">
        <v>89.9</v>
      </c>
      <c r="J22" s="231">
        <v>97.4</v>
      </c>
      <c r="K22" s="231">
        <v>88.5</v>
      </c>
      <c r="L22" s="231">
        <v>295.89999999999998</v>
      </c>
      <c r="M22" s="231">
        <v>747.6</v>
      </c>
      <c r="N22" s="231">
        <v>1121.9000000000001</v>
      </c>
      <c r="O22" s="53">
        <f t="shared" si="0"/>
        <v>6438.7000000000007</v>
      </c>
    </row>
    <row r="23" spans="1:15">
      <c r="A23" s="231"/>
      <c r="B23" s="288" t="s">
        <v>36</v>
      </c>
      <c r="C23" s="231">
        <v>14558.4</v>
      </c>
      <c r="D23" s="231">
        <v>14232.5</v>
      </c>
      <c r="E23" s="231">
        <v>11476.9</v>
      </c>
      <c r="F23" s="231">
        <v>7948.6</v>
      </c>
      <c r="G23" s="231">
        <v>3355.9</v>
      </c>
      <c r="H23" s="231">
        <v>1591.5</v>
      </c>
      <c r="I23" s="231">
        <v>1055.2</v>
      </c>
      <c r="J23" s="231">
        <v>884.2</v>
      </c>
      <c r="K23" s="231">
        <v>948.4</v>
      </c>
      <c r="L23" s="231">
        <v>2139.3000000000002</v>
      </c>
      <c r="M23" s="231">
        <v>6622.4</v>
      </c>
      <c r="N23" s="231">
        <v>13568.7</v>
      </c>
      <c r="O23" s="53">
        <f t="shared" si="0"/>
        <v>78382</v>
      </c>
    </row>
    <row r="24" spans="1:15">
      <c r="A24" s="231"/>
      <c r="B24" s="288" t="s">
        <v>37</v>
      </c>
      <c r="C24" s="231">
        <v>1161.4000000000001</v>
      </c>
      <c r="D24" s="231">
        <v>1220.5</v>
      </c>
      <c r="E24" s="231">
        <v>967.1</v>
      </c>
      <c r="F24" s="231">
        <v>566.20000000000005</v>
      </c>
      <c r="G24" s="231">
        <v>270.39999999999998</v>
      </c>
      <c r="H24" s="231">
        <v>101</v>
      </c>
      <c r="I24" s="231">
        <v>80.900000000000006</v>
      </c>
      <c r="J24" s="231">
        <v>81.400000000000006</v>
      </c>
      <c r="K24" s="231">
        <v>82.1</v>
      </c>
      <c r="L24" s="231">
        <v>292.89999999999998</v>
      </c>
      <c r="M24" s="231">
        <v>728.5</v>
      </c>
      <c r="N24" s="231">
        <v>991.5</v>
      </c>
      <c r="O24" s="53">
        <f t="shared" si="0"/>
        <v>6543.8999999999987</v>
      </c>
    </row>
    <row r="25" spans="1:15">
      <c r="A25" s="231"/>
      <c r="B25" s="288" t="s">
        <v>38</v>
      </c>
      <c r="C25" s="231">
        <v>12373.2</v>
      </c>
      <c r="D25" s="231">
        <v>12843</v>
      </c>
      <c r="E25" s="231">
        <v>10509.1</v>
      </c>
      <c r="F25" s="231">
        <v>7497.5</v>
      </c>
      <c r="G25" s="231">
        <v>3458.4</v>
      </c>
      <c r="H25" s="231">
        <v>1704.9</v>
      </c>
      <c r="I25" s="231">
        <v>861.3</v>
      </c>
      <c r="J25" s="231">
        <v>739.4</v>
      </c>
      <c r="K25" s="231">
        <v>756.8</v>
      </c>
      <c r="L25" s="231">
        <v>1363.9</v>
      </c>
      <c r="M25" s="231">
        <v>4813.3</v>
      </c>
      <c r="N25" s="231">
        <v>11170.9</v>
      </c>
      <c r="O25" s="53">
        <f t="shared" si="0"/>
        <v>68091.700000000012</v>
      </c>
    </row>
    <row r="26" spans="1:15">
      <c r="A26" s="231"/>
      <c r="B26" s="288" t="s">
        <v>39</v>
      </c>
      <c r="C26" s="231">
        <v>25142.718000000001</v>
      </c>
      <c r="D26" s="231">
        <v>24840.217099999998</v>
      </c>
      <c r="E26" s="231">
        <v>20431.6037</v>
      </c>
      <c r="F26" s="231">
        <v>14350.7675</v>
      </c>
      <c r="G26" s="231">
        <v>6454.3024000000005</v>
      </c>
      <c r="H26" s="231">
        <v>3664.3832000000002</v>
      </c>
      <c r="I26" s="231">
        <v>2462.9201000000003</v>
      </c>
      <c r="J26" s="231">
        <v>1988.0923</v>
      </c>
      <c r="K26" s="231">
        <v>2318.2233000000001</v>
      </c>
      <c r="L26" s="231">
        <v>4128.0297999999993</v>
      </c>
      <c r="M26" s="231">
        <v>10709.3863</v>
      </c>
      <c r="N26" s="231">
        <v>23538.731799999998</v>
      </c>
      <c r="O26" s="53">
        <f t="shared" si="0"/>
        <v>140029.37550000002</v>
      </c>
    </row>
    <row r="27" spans="1:15">
      <c r="A27" s="231"/>
      <c r="B27" s="288" t="s">
        <v>40</v>
      </c>
      <c r="C27" s="231">
        <v>1571.2</v>
      </c>
      <c r="D27" s="231">
        <v>1332.1</v>
      </c>
      <c r="E27" s="231">
        <v>1169.8</v>
      </c>
      <c r="F27" s="231">
        <v>777.3</v>
      </c>
      <c r="G27" s="231">
        <v>309</v>
      </c>
      <c r="H27" s="231">
        <v>152.5</v>
      </c>
      <c r="I27" s="231">
        <v>78.8</v>
      </c>
      <c r="J27" s="231">
        <v>61.2</v>
      </c>
      <c r="K27" s="231">
        <v>68.599999999999994</v>
      </c>
      <c r="L27" s="231">
        <v>157.19999999999999</v>
      </c>
      <c r="M27" s="231">
        <v>612.4</v>
      </c>
      <c r="N27" s="231">
        <v>1462.5</v>
      </c>
      <c r="O27" s="53">
        <f t="shared" si="0"/>
        <v>7752.6</v>
      </c>
    </row>
    <row r="28" spans="1:15">
      <c r="A28" s="231"/>
      <c r="B28" s="288" t="s">
        <v>41</v>
      </c>
      <c r="C28" s="231">
        <v>15199.3406</v>
      </c>
      <c r="D28" s="231">
        <v>12901.786399999999</v>
      </c>
      <c r="E28" s="231">
        <v>10790.494200000001</v>
      </c>
      <c r="F28" s="231">
        <v>6454.3207999999995</v>
      </c>
      <c r="G28" s="231">
        <v>2851.3698000000004</v>
      </c>
      <c r="H28" s="231">
        <v>1249.9073000000001</v>
      </c>
      <c r="I28" s="231">
        <v>952.35159999999996</v>
      </c>
      <c r="J28" s="231">
        <v>829.70360000000005</v>
      </c>
      <c r="K28" s="231">
        <v>834.31560000000002</v>
      </c>
      <c r="L28" s="231">
        <v>2825.0853999999999</v>
      </c>
      <c r="M28" s="231">
        <v>7588.0389999999998</v>
      </c>
      <c r="N28" s="231">
        <v>13310.6967</v>
      </c>
      <c r="O28" s="53">
        <f t="shared" si="0"/>
        <v>75787.410999999993</v>
      </c>
    </row>
    <row r="29" spans="1:15">
      <c r="A29" s="8"/>
      <c r="B29" s="9" t="s">
        <v>42</v>
      </c>
      <c r="C29" s="8">
        <v>204683.3412</v>
      </c>
      <c r="D29" s="8">
        <v>195784.29079999996</v>
      </c>
      <c r="E29" s="8">
        <v>156371.01850000001</v>
      </c>
      <c r="F29" s="8">
        <v>105088.22869999998</v>
      </c>
      <c r="G29" s="8">
        <v>47514.166299999997</v>
      </c>
      <c r="H29" s="8">
        <v>25993.493999999999</v>
      </c>
      <c r="I29" s="8">
        <v>18974.826799999999</v>
      </c>
      <c r="J29" s="8">
        <v>16916.041599999997</v>
      </c>
      <c r="K29" s="8">
        <v>18001.331800000004</v>
      </c>
      <c r="L29" s="8">
        <v>35947.758600000001</v>
      </c>
      <c r="M29" s="8">
        <v>96737.896900000007</v>
      </c>
      <c r="N29" s="8">
        <v>188927.18930000003</v>
      </c>
      <c r="O29" s="53">
        <f t="shared" si="0"/>
        <v>1110939.5845000001</v>
      </c>
    </row>
    <row r="30" spans="1:15">
      <c r="A30" s="231"/>
      <c r="B30" s="288"/>
      <c r="C30" s="231"/>
      <c r="D30" s="231"/>
      <c r="E30" s="231"/>
      <c r="F30" s="231"/>
      <c r="G30" s="231"/>
      <c r="H30" s="231"/>
      <c r="I30" s="231"/>
      <c r="J30" s="231"/>
      <c r="K30" s="231"/>
      <c r="L30" s="231"/>
      <c r="M30" s="231"/>
      <c r="N30" s="231"/>
      <c r="O30" s="53"/>
    </row>
    <row r="31" spans="1:15">
      <c r="A31" s="288" t="s">
        <v>43</v>
      </c>
      <c r="B31" s="288" t="s">
        <v>26</v>
      </c>
      <c r="C31" s="231">
        <v>41498.369200000001</v>
      </c>
      <c r="D31" s="231">
        <v>34293.759100000003</v>
      </c>
      <c r="E31" s="231">
        <v>28273.6073</v>
      </c>
      <c r="F31" s="231">
        <v>22336.900899999997</v>
      </c>
      <c r="G31" s="231">
        <v>11397.517400000001</v>
      </c>
      <c r="H31" s="231">
        <v>8778.294100000001</v>
      </c>
      <c r="I31" s="231">
        <v>7880.5747999999994</v>
      </c>
      <c r="J31" s="231">
        <v>7505.4725000000008</v>
      </c>
      <c r="K31" s="231">
        <v>7652.5344999999998</v>
      </c>
      <c r="L31" s="231">
        <v>11809.769100000001</v>
      </c>
      <c r="M31" s="231">
        <v>19764.091899999999</v>
      </c>
      <c r="N31" s="231">
        <v>35728.657100000004</v>
      </c>
      <c r="O31" s="53">
        <f t="shared" si="0"/>
        <v>236919.54790000003</v>
      </c>
    </row>
    <row r="32" spans="1:15">
      <c r="A32" s="231"/>
      <c r="B32" s="288" t="s">
        <v>27</v>
      </c>
      <c r="C32" s="231">
        <v>2450.2691</v>
      </c>
      <c r="D32" s="231">
        <v>2036.4807000000001</v>
      </c>
      <c r="E32" s="231">
        <v>1683.6098</v>
      </c>
      <c r="F32" s="231">
        <v>1059.3887</v>
      </c>
      <c r="G32" s="231">
        <v>690.10030000000006</v>
      </c>
      <c r="H32" s="231">
        <v>527.16610000000003</v>
      </c>
      <c r="I32" s="231">
        <v>395.27209999999997</v>
      </c>
      <c r="J32" s="231">
        <v>402.41370000000001</v>
      </c>
      <c r="K32" s="231">
        <v>528.00310000000002</v>
      </c>
      <c r="L32" s="231">
        <v>1076.6993</v>
      </c>
      <c r="M32" s="231">
        <v>1503.9354000000001</v>
      </c>
      <c r="N32" s="231">
        <v>1932.2266</v>
      </c>
      <c r="O32" s="53">
        <f t="shared" si="0"/>
        <v>14285.564899999999</v>
      </c>
    </row>
    <row r="33" spans="1:15">
      <c r="A33" s="231"/>
      <c r="B33" s="294" t="s">
        <v>28</v>
      </c>
      <c r="C33" s="293">
        <v>60142.3194</v>
      </c>
      <c r="D33" s="293">
        <v>54716.3557</v>
      </c>
      <c r="E33" s="293">
        <v>46849.132299999997</v>
      </c>
      <c r="F33" s="293">
        <v>35284.890699999996</v>
      </c>
      <c r="G33" s="293">
        <v>21613.571199999998</v>
      </c>
      <c r="H33" s="293">
        <v>14390.172899999998</v>
      </c>
      <c r="I33" s="293">
        <v>13254.911100000001</v>
      </c>
      <c r="J33" s="293">
        <v>11491.079</v>
      </c>
      <c r="K33" s="293">
        <v>14541.3343</v>
      </c>
      <c r="L33" s="293">
        <v>22666.082899999998</v>
      </c>
      <c r="M33" s="293">
        <v>36283.054100000001</v>
      </c>
      <c r="N33" s="293">
        <v>60379.450899999996</v>
      </c>
      <c r="O33" s="54">
        <f t="shared" si="0"/>
        <v>391612.35449999996</v>
      </c>
    </row>
    <row r="34" spans="1:15">
      <c r="A34" s="231"/>
      <c r="B34" s="288" t="s">
        <v>29</v>
      </c>
      <c r="C34" s="231">
        <v>58155.550200000005</v>
      </c>
      <c r="D34" s="231">
        <v>53497.398800000003</v>
      </c>
      <c r="E34" s="231">
        <v>38570.2857</v>
      </c>
      <c r="F34" s="231">
        <v>24325.0448</v>
      </c>
      <c r="G34" s="231">
        <v>13256.2657</v>
      </c>
      <c r="H34" s="231">
        <v>8005.3971000000001</v>
      </c>
      <c r="I34" s="231">
        <v>10291.135899999999</v>
      </c>
      <c r="J34" s="231">
        <v>8569.5550999999996</v>
      </c>
      <c r="K34" s="231">
        <v>8506.639799999999</v>
      </c>
      <c r="L34" s="231">
        <v>14055.691999999999</v>
      </c>
      <c r="M34" s="231">
        <v>30813.312100000003</v>
      </c>
      <c r="N34" s="231">
        <v>50920.607000000004</v>
      </c>
      <c r="O34" s="53">
        <f t="shared" si="0"/>
        <v>318966.88420000003</v>
      </c>
    </row>
    <row r="35" spans="1:15">
      <c r="A35" s="231"/>
      <c r="B35" s="288" t="s">
        <v>30</v>
      </c>
      <c r="C35" s="231">
        <v>3926.4011</v>
      </c>
      <c r="D35" s="231">
        <v>4585.3487999999998</v>
      </c>
      <c r="E35" s="231">
        <v>3735.8172</v>
      </c>
      <c r="F35" s="231">
        <v>2651.1376999999998</v>
      </c>
      <c r="G35" s="231">
        <v>1052.1585</v>
      </c>
      <c r="H35" s="231">
        <v>592.07209999999998</v>
      </c>
      <c r="I35" s="231">
        <v>457.56180000000001</v>
      </c>
      <c r="J35" s="231">
        <v>384.23160000000001</v>
      </c>
      <c r="K35" s="231">
        <v>438.37789999999995</v>
      </c>
      <c r="L35" s="231">
        <v>508.37369999999999</v>
      </c>
      <c r="M35" s="231">
        <v>2653.4470000000001</v>
      </c>
      <c r="N35" s="231">
        <v>4744.0050000000001</v>
      </c>
      <c r="O35" s="53">
        <f t="shared" si="0"/>
        <v>25728.932399999998</v>
      </c>
    </row>
    <row r="36" spans="1:15">
      <c r="A36" s="231"/>
      <c r="B36" s="288" t="s">
        <v>31</v>
      </c>
      <c r="C36" s="231">
        <v>37728.960900000005</v>
      </c>
      <c r="D36" s="231">
        <v>34363.782299999999</v>
      </c>
      <c r="E36" s="231">
        <v>31143.730500000001</v>
      </c>
      <c r="F36" s="231">
        <v>24610.015700000004</v>
      </c>
      <c r="G36" s="231">
        <v>12981.250699999999</v>
      </c>
      <c r="H36" s="231">
        <v>10299.102700000001</v>
      </c>
      <c r="I36" s="231">
        <v>7428.8788999999997</v>
      </c>
      <c r="J36" s="231">
        <v>7110.3153999999995</v>
      </c>
      <c r="K36" s="231">
        <v>7834.6291000000001</v>
      </c>
      <c r="L36" s="231">
        <v>8550.1823000000004</v>
      </c>
      <c r="M36" s="231">
        <v>14593.893799999998</v>
      </c>
      <c r="N36" s="231">
        <v>33322.3508</v>
      </c>
      <c r="O36" s="53">
        <f t="shared" si="0"/>
        <v>229967.09309999994</v>
      </c>
    </row>
    <row r="37" spans="1:15">
      <c r="A37" s="231"/>
      <c r="B37" s="288" t="s">
        <v>32</v>
      </c>
      <c r="C37" s="231">
        <v>14533.7899</v>
      </c>
      <c r="D37" s="231">
        <v>16472.016599999999</v>
      </c>
      <c r="E37" s="231">
        <v>12621.5689</v>
      </c>
      <c r="F37" s="231">
        <v>10490.6217</v>
      </c>
      <c r="G37" s="231">
        <v>5437.7154999999993</v>
      </c>
      <c r="H37" s="231">
        <v>3759.7116000000001</v>
      </c>
      <c r="I37" s="231">
        <v>2939.7439999999997</v>
      </c>
      <c r="J37" s="231">
        <v>2924.8265999999999</v>
      </c>
      <c r="K37" s="231">
        <v>3274.8629000000001</v>
      </c>
      <c r="L37" s="231">
        <v>4519.9764999999998</v>
      </c>
      <c r="M37" s="231">
        <v>7815.4222</v>
      </c>
      <c r="N37" s="231">
        <v>14711.354600000001</v>
      </c>
      <c r="O37" s="53">
        <f t="shared" si="0"/>
        <v>99501.611000000004</v>
      </c>
    </row>
    <row r="38" spans="1:15">
      <c r="A38" s="231"/>
      <c r="B38" s="288" t="s">
        <v>33</v>
      </c>
      <c r="C38" s="231">
        <v>1644.4742999999999</v>
      </c>
      <c r="D38" s="231">
        <v>1752.8977</v>
      </c>
      <c r="E38" s="231">
        <v>1407.7826</v>
      </c>
      <c r="F38" s="231">
        <v>1170.3076000000001</v>
      </c>
      <c r="G38" s="231">
        <v>730.05919999999992</v>
      </c>
      <c r="H38" s="231">
        <v>479.8843</v>
      </c>
      <c r="I38" s="231">
        <v>331.07749999999999</v>
      </c>
      <c r="J38" s="231">
        <v>385.85300000000001</v>
      </c>
      <c r="K38" s="231">
        <v>592.43950000000007</v>
      </c>
      <c r="L38" s="231">
        <v>1052.693</v>
      </c>
      <c r="M38" s="231">
        <v>1472.4586000000002</v>
      </c>
      <c r="N38" s="231">
        <v>1798.0217</v>
      </c>
      <c r="O38" s="53">
        <f t="shared" si="0"/>
        <v>12817.948999999999</v>
      </c>
    </row>
    <row r="39" spans="1:15">
      <c r="A39" s="231"/>
      <c r="B39" s="288" t="s">
        <v>34</v>
      </c>
      <c r="C39" s="231">
        <v>8195.5604000000003</v>
      </c>
      <c r="D39" s="231">
        <v>7630.0968000000003</v>
      </c>
      <c r="E39" s="231">
        <v>6132.3742999999995</v>
      </c>
      <c r="F39" s="231">
        <v>3758.7399</v>
      </c>
      <c r="G39" s="231">
        <v>2532.9547000000002</v>
      </c>
      <c r="H39" s="231">
        <v>1803.6563000000001</v>
      </c>
      <c r="I39" s="231">
        <v>1198.8982999999998</v>
      </c>
      <c r="J39" s="231">
        <v>1249.8598999999999</v>
      </c>
      <c r="K39" s="231">
        <v>1271.6842999999999</v>
      </c>
      <c r="L39" s="231">
        <v>2197.672</v>
      </c>
      <c r="M39" s="231">
        <v>5836.1679000000004</v>
      </c>
      <c r="N39" s="231">
        <v>7776.1213000000007</v>
      </c>
      <c r="O39" s="53">
        <f t="shared" si="0"/>
        <v>49583.786099999998</v>
      </c>
    </row>
    <row r="40" spans="1:15">
      <c r="A40" s="231"/>
      <c r="B40" s="288" t="s">
        <v>35</v>
      </c>
      <c r="C40" s="231">
        <v>1790.777</v>
      </c>
      <c r="D40" s="231">
        <v>1379.8369</v>
      </c>
      <c r="E40" s="231">
        <v>1107.7525000000001</v>
      </c>
      <c r="F40" s="231">
        <v>633.94359999999995</v>
      </c>
      <c r="G40" s="231">
        <v>483.18060000000003</v>
      </c>
      <c r="H40" s="231">
        <v>358.63740000000001</v>
      </c>
      <c r="I40" s="231">
        <v>399.49199999999996</v>
      </c>
      <c r="J40" s="231">
        <v>334.86719999999997</v>
      </c>
      <c r="K40" s="231">
        <v>354.44890000000004</v>
      </c>
      <c r="L40" s="231">
        <v>607.67039999999997</v>
      </c>
      <c r="M40" s="231">
        <v>1208.4360000000001</v>
      </c>
      <c r="N40" s="231">
        <v>1825.9463000000001</v>
      </c>
      <c r="O40" s="53">
        <f t="shared" si="0"/>
        <v>10484.988799999999</v>
      </c>
    </row>
    <row r="41" spans="1:15">
      <c r="A41" s="231"/>
      <c r="B41" s="288" t="s">
        <v>36</v>
      </c>
      <c r="C41" s="231">
        <v>20987.370599999998</v>
      </c>
      <c r="D41" s="231">
        <v>19909.7582</v>
      </c>
      <c r="E41" s="231">
        <v>17050.941900000002</v>
      </c>
      <c r="F41" s="231">
        <v>11006.484199999999</v>
      </c>
      <c r="G41" s="231">
        <v>6611.1454000000003</v>
      </c>
      <c r="H41" s="231">
        <v>4660.8006999999998</v>
      </c>
      <c r="I41" s="231">
        <v>4262.6282000000001</v>
      </c>
      <c r="J41" s="231">
        <v>3664.1738</v>
      </c>
      <c r="K41" s="231">
        <v>4076.8177000000005</v>
      </c>
      <c r="L41" s="231">
        <v>5551.0509000000002</v>
      </c>
      <c r="M41" s="231">
        <v>10642.3063</v>
      </c>
      <c r="N41" s="231">
        <v>18953.853999999999</v>
      </c>
      <c r="O41" s="53">
        <f t="shared" si="0"/>
        <v>127377.33189999999</v>
      </c>
    </row>
    <row r="42" spans="1:15">
      <c r="A42" s="231"/>
      <c r="B42" s="288" t="s">
        <v>37</v>
      </c>
      <c r="C42" s="231">
        <v>2061.4560999999999</v>
      </c>
      <c r="D42" s="231">
        <v>2237.1513999999997</v>
      </c>
      <c r="E42" s="231">
        <v>1733.9644999999998</v>
      </c>
      <c r="F42" s="231">
        <v>931.94729999999993</v>
      </c>
      <c r="G42" s="231">
        <v>643.31139999999994</v>
      </c>
      <c r="H42" s="231">
        <v>494.02760000000001</v>
      </c>
      <c r="I42" s="231">
        <v>460.88380000000001</v>
      </c>
      <c r="J42" s="231">
        <v>352.04790000000003</v>
      </c>
      <c r="K42" s="231">
        <v>450.04790000000003</v>
      </c>
      <c r="L42" s="231">
        <v>719.31979999999999</v>
      </c>
      <c r="M42" s="231">
        <v>1445.7203</v>
      </c>
      <c r="N42" s="231">
        <v>2018.5895</v>
      </c>
      <c r="O42" s="53">
        <f t="shared" si="0"/>
        <v>13548.467499999997</v>
      </c>
    </row>
    <row r="43" spans="1:15">
      <c r="A43" s="231"/>
      <c r="B43" s="288" t="s">
        <v>38</v>
      </c>
      <c r="C43" s="231">
        <v>14893.311600000001</v>
      </c>
      <c r="D43" s="231">
        <v>16117.409099999999</v>
      </c>
      <c r="E43" s="231">
        <v>12771.5286</v>
      </c>
      <c r="F43" s="231">
        <v>10063.902400000001</v>
      </c>
      <c r="G43" s="231">
        <v>5702.8945000000003</v>
      </c>
      <c r="H43" s="231">
        <v>4344.5933999999997</v>
      </c>
      <c r="I43" s="231">
        <v>3244.6889000000001</v>
      </c>
      <c r="J43" s="231">
        <v>2923.3472000000002</v>
      </c>
      <c r="K43" s="231">
        <v>2861.4471000000003</v>
      </c>
      <c r="L43" s="231">
        <v>3842.3058000000001</v>
      </c>
      <c r="M43" s="231">
        <v>6939.3606</v>
      </c>
      <c r="N43" s="231">
        <v>13538.135199999999</v>
      </c>
      <c r="O43" s="53">
        <f t="shared" si="0"/>
        <v>97242.924400000004</v>
      </c>
    </row>
    <row r="44" spans="1:15">
      <c r="A44" s="231"/>
      <c r="B44" s="288" t="s">
        <v>39</v>
      </c>
      <c r="C44" s="231">
        <v>27384.011500000001</v>
      </c>
      <c r="D44" s="231">
        <v>25413.0337</v>
      </c>
      <c r="E44" s="231">
        <v>22476.085899999998</v>
      </c>
      <c r="F44" s="231">
        <v>18123.697899999999</v>
      </c>
      <c r="G44" s="231">
        <v>11434.440699999999</v>
      </c>
      <c r="H44" s="231">
        <v>7665.0769999999993</v>
      </c>
      <c r="I44" s="231">
        <v>7486.2893000000004</v>
      </c>
      <c r="J44" s="231">
        <v>6652.1598999999997</v>
      </c>
      <c r="K44" s="231">
        <v>7688.8089000000009</v>
      </c>
      <c r="L44" s="231">
        <v>11093.8133</v>
      </c>
      <c r="M44" s="231">
        <v>15514.206</v>
      </c>
      <c r="N44" s="231">
        <v>25311.485999999997</v>
      </c>
      <c r="O44" s="53">
        <f t="shared" si="0"/>
        <v>186243.11010000002</v>
      </c>
    </row>
    <row r="45" spans="1:15">
      <c r="A45" s="231"/>
      <c r="B45" s="288" t="s">
        <v>40</v>
      </c>
      <c r="C45" s="231">
        <v>4007.2121000000002</v>
      </c>
      <c r="D45" s="231">
        <v>3767.1140999999998</v>
      </c>
      <c r="E45" s="231">
        <v>2988.6597999999999</v>
      </c>
      <c r="F45" s="231">
        <v>2164.0933999999997</v>
      </c>
      <c r="G45" s="231">
        <v>843.27809999999999</v>
      </c>
      <c r="H45" s="231">
        <v>388.62490000000003</v>
      </c>
      <c r="I45" s="231">
        <v>218.73470000000003</v>
      </c>
      <c r="J45" s="231">
        <v>207.34739999999999</v>
      </c>
      <c r="K45" s="231">
        <v>292.47030000000001</v>
      </c>
      <c r="L45" s="231">
        <v>481.89480000000003</v>
      </c>
      <c r="M45" s="231">
        <v>1540.5924</v>
      </c>
      <c r="N45" s="231">
        <v>3946.3447000000001</v>
      </c>
      <c r="O45" s="53">
        <f t="shared" si="0"/>
        <v>20846.366700000002</v>
      </c>
    </row>
    <row r="46" spans="1:15">
      <c r="A46" s="231"/>
      <c r="B46" s="288" t="s">
        <v>41</v>
      </c>
      <c r="C46" s="231">
        <v>36093.573799999998</v>
      </c>
      <c r="D46" s="231">
        <v>28503.3554</v>
      </c>
      <c r="E46" s="231">
        <v>25555.1662</v>
      </c>
      <c r="F46" s="231">
        <v>17452.379000000001</v>
      </c>
      <c r="G46" s="231">
        <v>10510.016299999999</v>
      </c>
      <c r="H46" s="231">
        <v>7714.4996000000001</v>
      </c>
      <c r="I46" s="231">
        <v>7682.5037000000002</v>
      </c>
      <c r="J46" s="231">
        <v>6813.5900999999994</v>
      </c>
      <c r="K46" s="231">
        <v>6722.0488000000005</v>
      </c>
      <c r="L46" s="231">
        <v>12669.130099999998</v>
      </c>
      <c r="M46" s="231">
        <v>20647.712</v>
      </c>
      <c r="N46" s="231">
        <v>32571.781799999997</v>
      </c>
      <c r="O46" s="53">
        <f t="shared" si="0"/>
        <v>212935.75679999997</v>
      </c>
    </row>
    <row r="47" spans="1:15">
      <c r="A47" s="8"/>
      <c r="B47" s="9" t="s">
        <v>42</v>
      </c>
      <c r="C47" s="8">
        <v>335493.40720000002</v>
      </c>
      <c r="D47" s="8">
        <v>306675.7953</v>
      </c>
      <c r="E47" s="8">
        <v>254102.00799999994</v>
      </c>
      <c r="F47" s="8">
        <v>186063.49550000002</v>
      </c>
      <c r="G47" s="8">
        <v>105919.8602</v>
      </c>
      <c r="H47" s="8">
        <v>74261.717799999984</v>
      </c>
      <c r="I47" s="8">
        <v>67933.274999999994</v>
      </c>
      <c r="J47" s="8">
        <v>60971.140299999985</v>
      </c>
      <c r="K47" s="8">
        <v>67086.594999999987</v>
      </c>
      <c r="L47" s="8">
        <v>101402.32590000001</v>
      </c>
      <c r="M47" s="8">
        <v>178674.11660000001</v>
      </c>
      <c r="N47" s="8">
        <v>309478.93250000011</v>
      </c>
      <c r="O47" s="53">
        <f t="shared" si="0"/>
        <v>2048062.6693000002</v>
      </c>
    </row>
    <row r="48" spans="1:15">
      <c r="A48" s="231"/>
      <c r="B48" s="288"/>
      <c r="C48" s="231"/>
      <c r="D48" s="231"/>
      <c r="E48" s="231"/>
      <c r="F48" s="231"/>
      <c r="G48" s="231"/>
      <c r="H48" s="231"/>
      <c r="I48" s="231"/>
      <c r="J48" s="231"/>
      <c r="K48" s="231"/>
      <c r="L48" s="231"/>
      <c r="M48" s="231"/>
      <c r="N48" s="231"/>
      <c r="O48" s="53"/>
    </row>
    <row r="49" spans="1:15">
      <c r="A49" s="288" t="s">
        <v>44</v>
      </c>
      <c r="B49" s="288" t="s">
        <v>26</v>
      </c>
      <c r="C49" s="231">
        <v>15107.3397</v>
      </c>
      <c r="D49" s="231">
        <v>14563.388299999999</v>
      </c>
      <c r="E49" s="231">
        <v>11643.4197</v>
      </c>
      <c r="F49" s="231">
        <v>11401.565200000001</v>
      </c>
      <c r="G49" s="231">
        <v>10194.048999999999</v>
      </c>
      <c r="H49" s="231">
        <v>9718.9112000000005</v>
      </c>
      <c r="I49" s="231">
        <v>9649.6576999999997</v>
      </c>
      <c r="J49" s="231">
        <v>4332.7448000000004</v>
      </c>
      <c r="K49" s="231">
        <v>4451.0493999999999</v>
      </c>
      <c r="L49" s="231">
        <v>6020.6522999999997</v>
      </c>
      <c r="M49" s="231">
        <v>8323.8883999999998</v>
      </c>
      <c r="N49" s="231">
        <v>11897.173500000001</v>
      </c>
      <c r="O49" s="53">
        <f t="shared" si="0"/>
        <v>117303.8392</v>
      </c>
    </row>
    <row r="50" spans="1:15">
      <c r="A50" s="231"/>
      <c r="B50" s="288" t="s">
        <v>27</v>
      </c>
      <c r="C50" s="231">
        <v>10525.1</v>
      </c>
      <c r="D50" s="231">
        <v>8529.9</v>
      </c>
      <c r="E50" s="231">
        <v>7272.2</v>
      </c>
      <c r="F50" s="231">
        <v>4902.3999999999996</v>
      </c>
      <c r="G50" s="231">
        <v>2303.6</v>
      </c>
      <c r="H50" s="231">
        <v>561</v>
      </c>
      <c r="I50" s="231">
        <v>545</v>
      </c>
      <c r="J50" s="231">
        <v>489</v>
      </c>
      <c r="K50" s="231">
        <v>855</v>
      </c>
      <c r="L50" s="231">
        <v>3714.3</v>
      </c>
      <c r="M50" s="231">
        <v>7338.7</v>
      </c>
      <c r="N50" s="231">
        <v>10844.2</v>
      </c>
      <c r="O50" s="53">
        <f t="shared" si="0"/>
        <v>57880.399999999994</v>
      </c>
    </row>
    <row r="51" spans="1:15">
      <c r="A51" s="231"/>
      <c r="B51" s="294" t="s">
        <v>28</v>
      </c>
      <c r="C51" s="293">
        <v>18820.034299999999</v>
      </c>
      <c r="D51" s="293">
        <v>22917.566500000001</v>
      </c>
      <c r="E51" s="293">
        <v>22218.890299999999</v>
      </c>
      <c r="F51" s="293">
        <v>25542.506600000001</v>
      </c>
      <c r="G51" s="293">
        <v>21729.103500000001</v>
      </c>
      <c r="H51" s="293">
        <v>20616.046600000001</v>
      </c>
      <c r="I51" s="293">
        <v>23209.9113</v>
      </c>
      <c r="J51" s="293">
        <v>24466.429100000001</v>
      </c>
      <c r="K51" s="293">
        <v>22514.429499999998</v>
      </c>
      <c r="L51" s="293">
        <v>19457.7166</v>
      </c>
      <c r="M51" s="293">
        <v>19533.4709</v>
      </c>
      <c r="N51" s="293">
        <v>17569.3783</v>
      </c>
      <c r="O51" s="54">
        <f t="shared" si="0"/>
        <v>258595.48350000006</v>
      </c>
    </row>
    <row r="52" spans="1:15">
      <c r="A52" s="231"/>
      <c r="B52" s="288" t="s">
        <v>29</v>
      </c>
      <c r="C52" s="231">
        <v>41390.679600000003</v>
      </c>
      <c r="D52" s="231">
        <v>35536.721400000002</v>
      </c>
      <c r="E52" s="231">
        <v>36856.863499999999</v>
      </c>
      <c r="F52" s="231">
        <v>36321.805800000002</v>
      </c>
      <c r="G52" s="231">
        <v>31043.669300000001</v>
      </c>
      <c r="H52" s="231">
        <v>24731.498599999999</v>
      </c>
      <c r="I52" s="231">
        <v>29236.315800000004</v>
      </c>
      <c r="J52" s="231">
        <v>15221.591199999999</v>
      </c>
      <c r="K52" s="231">
        <v>15026.249899999999</v>
      </c>
      <c r="L52" s="231">
        <v>16615.850599999998</v>
      </c>
      <c r="M52" s="231">
        <v>17688.5141</v>
      </c>
      <c r="N52" s="231">
        <v>19077.3262</v>
      </c>
      <c r="O52" s="53">
        <f t="shared" si="0"/>
        <v>318747.08600000001</v>
      </c>
    </row>
    <row r="53" spans="1:15">
      <c r="A53" s="231"/>
      <c r="B53" s="288" t="s">
        <v>30</v>
      </c>
      <c r="C53" s="231">
        <v>5778.5346</v>
      </c>
      <c r="D53" s="231">
        <v>6489.26</v>
      </c>
      <c r="E53" s="231">
        <v>5280.9333000000006</v>
      </c>
      <c r="F53" s="231">
        <v>4199.9092000000001</v>
      </c>
      <c r="G53" s="231">
        <v>3133.0561000000002</v>
      </c>
      <c r="H53" s="231">
        <v>2780.6688999999997</v>
      </c>
      <c r="I53" s="231">
        <v>2312.3630000000003</v>
      </c>
      <c r="J53" s="231">
        <v>2011.0877</v>
      </c>
      <c r="K53" s="231">
        <v>1734.0192000000002</v>
      </c>
      <c r="L53" s="231">
        <v>2432.3161999999998</v>
      </c>
      <c r="M53" s="231">
        <v>3727.53</v>
      </c>
      <c r="N53" s="231">
        <v>4562.9836000000005</v>
      </c>
      <c r="O53" s="53">
        <f t="shared" si="0"/>
        <v>44442.661800000002</v>
      </c>
    </row>
    <row r="54" spans="1:15">
      <c r="A54" s="231"/>
      <c r="B54" s="288" t="s">
        <v>31</v>
      </c>
      <c r="C54" s="231">
        <v>55285.907200000001</v>
      </c>
      <c r="D54" s="231">
        <v>56718.3125</v>
      </c>
      <c r="E54" s="231">
        <v>52939.901299999998</v>
      </c>
      <c r="F54" s="231">
        <v>60896.5556</v>
      </c>
      <c r="G54" s="231">
        <v>44254.774799999999</v>
      </c>
      <c r="H54" s="231">
        <v>49963.599900000001</v>
      </c>
      <c r="I54" s="231">
        <v>48258.007799999999</v>
      </c>
      <c r="J54" s="231">
        <v>49544.671900000001</v>
      </c>
      <c r="K54" s="231">
        <v>50411.039100000002</v>
      </c>
      <c r="L54" s="231">
        <v>49563.354099999997</v>
      </c>
      <c r="M54" s="231">
        <v>51655.819499999998</v>
      </c>
      <c r="N54" s="231">
        <v>47718.037700000001</v>
      </c>
      <c r="O54" s="53">
        <f t="shared" si="0"/>
        <v>617209.98139999993</v>
      </c>
    </row>
    <row r="55" spans="1:15">
      <c r="A55" s="231"/>
      <c r="B55" s="288" t="s">
        <v>32</v>
      </c>
      <c r="C55" s="231">
        <v>31816.525999999998</v>
      </c>
      <c r="D55" s="231">
        <v>18648.2827</v>
      </c>
      <c r="E55" s="231">
        <v>17488.481400000001</v>
      </c>
      <c r="F55" s="231">
        <v>15710.356599999999</v>
      </c>
      <c r="G55" s="231">
        <v>9339.997800000001</v>
      </c>
      <c r="H55" s="231">
        <v>4080.8598999999999</v>
      </c>
      <c r="I55" s="231">
        <v>3759.0149000000001</v>
      </c>
      <c r="J55" s="231">
        <v>1928.7998</v>
      </c>
      <c r="K55" s="231">
        <v>4653.0632000000005</v>
      </c>
      <c r="L55" s="231">
        <v>13074.1065</v>
      </c>
      <c r="M55" s="231">
        <v>18613.154999999999</v>
      </c>
      <c r="N55" s="231">
        <v>24121.464899999999</v>
      </c>
      <c r="O55" s="53">
        <f t="shared" si="0"/>
        <v>163234.10869999995</v>
      </c>
    </row>
    <row r="56" spans="1:15">
      <c r="A56" s="231"/>
      <c r="B56" s="288" t="s">
        <v>33</v>
      </c>
      <c r="C56" s="288" t="s">
        <v>45</v>
      </c>
      <c r="D56" s="288" t="s">
        <v>45</v>
      </c>
      <c r="E56" s="288" t="s">
        <v>45</v>
      </c>
      <c r="F56" s="288" t="s">
        <v>45</v>
      </c>
      <c r="G56" s="288" t="s">
        <v>45</v>
      </c>
      <c r="H56" s="288" t="s">
        <v>45</v>
      </c>
      <c r="I56" s="288" t="s">
        <v>45</v>
      </c>
      <c r="J56" s="288" t="s">
        <v>45</v>
      </c>
      <c r="K56" s="288" t="s">
        <v>45</v>
      </c>
      <c r="L56" s="288" t="s">
        <v>45</v>
      </c>
      <c r="M56" s="288" t="s">
        <v>45</v>
      </c>
      <c r="N56" s="288" t="s">
        <v>45</v>
      </c>
      <c r="O56" s="53">
        <f t="shared" si="0"/>
        <v>0</v>
      </c>
    </row>
    <row r="57" spans="1:15">
      <c r="A57" s="231"/>
      <c r="B57" s="288" t="s">
        <v>34</v>
      </c>
      <c r="C57" s="288" t="s">
        <v>45</v>
      </c>
      <c r="D57" s="288" t="s">
        <v>45</v>
      </c>
      <c r="E57" s="288" t="s">
        <v>45</v>
      </c>
      <c r="F57" s="288" t="s">
        <v>45</v>
      </c>
      <c r="G57" s="288" t="s">
        <v>45</v>
      </c>
      <c r="H57" s="288" t="s">
        <v>45</v>
      </c>
      <c r="I57" s="288" t="s">
        <v>45</v>
      </c>
      <c r="J57" s="288" t="s">
        <v>45</v>
      </c>
      <c r="K57" s="288" t="s">
        <v>45</v>
      </c>
      <c r="L57" s="288" t="s">
        <v>45</v>
      </c>
      <c r="M57" s="288" t="s">
        <v>45</v>
      </c>
      <c r="N57" s="288" t="s">
        <v>45</v>
      </c>
      <c r="O57" s="53">
        <f t="shared" si="0"/>
        <v>0</v>
      </c>
    </row>
    <row r="58" spans="1:15">
      <c r="A58" s="231"/>
      <c r="B58" s="288" t="s">
        <v>35</v>
      </c>
      <c r="C58" s="231">
        <v>3339.4832999999999</v>
      </c>
      <c r="D58" s="231">
        <v>2850.3326000000002</v>
      </c>
      <c r="E58" s="231">
        <v>2214.0183999999999</v>
      </c>
      <c r="F58" s="231">
        <v>642.27539999999999</v>
      </c>
      <c r="G58" s="231">
        <v>257.96019999999999</v>
      </c>
      <c r="H58" s="231">
        <v>8</v>
      </c>
      <c r="I58" s="231">
        <v>1.1000000000000001</v>
      </c>
      <c r="J58" s="231">
        <v>1</v>
      </c>
      <c r="K58" s="231">
        <v>0.1</v>
      </c>
      <c r="L58" s="231">
        <v>395.4837</v>
      </c>
      <c r="M58" s="231">
        <v>1587.9297999999999</v>
      </c>
      <c r="N58" s="231">
        <v>1943.2718</v>
      </c>
      <c r="O58" s="53">
        <f t="shared" si="0"/>
        <v>13240.9552</v>
      </c>
    </row>
    <row r="59" spans="1:15">
      <c r="A59" s="231"/>
      <c r="B59" s="288" t="s">
        <v>36</v>
      </c>
      <c r="C59" s="231">
        <v>24646.5648</v>
      </c>
      <c r="D59" s="231">
        <v>24377.201499999999</v>
      </c>
      <c r="E59" s="231">
        <v>23020.914499999999</v>
      </c>
      <c r="F59" s="231">
        <v>19545.997199999998</v>
      </c>
      <c r="G59" s="231">
        <v>20375.130799999999</v>
      </c>
      <c r="H59" s="231">
        <v>12566.0717</v>
      </c>
      <c r="I59" s="231">
        <v>16255.3483</v>
      </c>
      <c r="J59" s="231">
        <v>14275.7564</v>
      </c>
      <c r="K59" s="231">
        <v>15958.394200000001</v>
      </c>
      <c r="L59" s="231">
        <v>18624.186300000001</v>
      </c>
      <c r="M59" s="231">
        <v>22111.123200000002</v>
      </c>
      <c r="N59" s="231">
        <v>24348.907800000001</v>
      </c>
      <c r="O59" s="53">
        <f t="shared" si="0"/>
        <v>236105.59670000005</v>
      </c>
    </row>
    <row r="60" spans="1:15">
      <c r="A60" s="231"/>
      <c r="B60" s="288" t="s">
        <v>37</v>
      </c>
      <c r="C60" s="288" t="s">
        <v>45</v>
      </c>
      <c r="D60" s="288" t="s">
        <v>45</v>
      </c>
      <c r="E60" s="288" t="s">
        <v>45</v>
      </c>
      <c r="F60" s="288" t="s">
        <v>45</v>
      </c>
      <c r="G60" s="288" t="s">
        <v>45</v>
      </c>
      <c r="H60" s="288" t="s">
        <v>45</v>
      </c>
      <c r="I60" s="288" t="s">
        <v>45</v>
      </c>
      <c r="J60" s="288" t="s">
        <v>45</v>
      </c>
      <c r="K60" s="288" t="s">
        <v>45</v>
      </c>
      <c r="L60" s="288" t="s">
        <v>45</v>
      </c>
      <c r="M60" s="288" t="s">
        <v>45</v>
      </c>
      <c r="N60" s="288" t="s">
        <v>45</v>
      </c>
      <c r="O60" s="53">
        <f t="shared" si="0"/>
        <v>0</v>
      </c>
    </row>
    <row r="61" spans="1:15">
      <c r="A61" s="231"/>
      <c r="B61" s="288" t="s">
        <v>38</v>
      </c>
      <c r="C61" s="231">
        <v>10936.805</v>
      </c>
      <c r="D61" s="231">
        <v>9959.2505999999994</v>
      </c>
      <c r="E61" s="231">
        <v>9287.4717999999993</v>
      </c>
      <c r="F61" s="231">
        <v>7336.6561000000002</v>
      </c>
      <c r="G61" s="231">
        <v>6580.5285000000003</v>
      </c>
      <c r="H61" s="231">
        <v>5826.7091</v>
      </c>
      <c r="I61" s="231">
        <v>4772.8339999999998</v>
      </c>
      <c r="J61" s="231">
        <v>5043.6376</v>
      </c>
      <c r="K61" s="231">
        <v>3944.9829</v>
      </c>
      <c r="L61" s="231">
        <v>4633.4022000000004</v>
      </c>
      <c r="M61" s="231">
        <v>6244.6491000000005</v>
      </c>
      <c r="N61" s="231">
        <v>7684.0852000000004</v>
      </c>
      <c r="O61" s="53">
        <f t="shared" si="0"/>
        <v>82251.012100000007</v>
      </c>
    </row>
    <row r="62" spans="1:15">
      <c r="A62" s="231"/>
      <c r="B62" s="288" t="s">
        <v>39</v>
      </c>
      <c r="C62" s="231">
        <v>12763.077600000001</v>
      </c>
      <c r="D62" s="231">
        <v>7735.0553</v>
      </c>
      <c r="E62" s="231">
        <v>7383.7031000000006</v>
      </c>
      <c r="F62" s="231">
        <v>6326.4672</v>
      </c>
      <c r="G62" s="231">
        <v>4523.7951999999996</v>
      </c>
      <c r="H62" s="231">
        <v>4175.0059000000001</v>
      </c>
      <c r="I62" s="231">
        <v>3360.5171999999998</v>
      </c>
      <c r="J62" s="231">
        <v>3345.5225</v>
      </c>
      <c r="K62" s="231">
        <v>3932.7546000000002</v>
      </c>
      <c r="L62" s="231">
        <v>4585.8257000000003</v>
      </c>
      <c r="M62" s="231">
        <v>3248.3254000000002</v>
      </c>
      <c r="N62" s="231">
        <v>4490.0823</v>
      </c>
      <c r="O62" s="53">
        <f t="shared" si="0"/>
        <v>65870.132000000012</v>
      </c>
    </row>
    <row r="63" spans="1:15">
      <c r="A63" s="231"/>
      <c r="B63" s="288" t="s">
        <v>40</v>
      </c>
      <c r="C63" s="231">
        <v>6260.3697000000002</v>
      </c>
      <c r="D63" s="231">
        <v>5210.2851000000001</v>
      </c>
      <c r="E63" s="231">
        <v>5284.9624999999996</v>
      </c>
      <c r="F63" s="231">
        <v>3367.3382999999999</v>
      </c>
      <c r="G63" s="231">
        <v>1863.8708000000001</v>
      </c>
      <c r="H63" s="231">
        <v>1583.6785</v>
      </c>
      <c r="I63" s="231">
        <v>1433.7923000000001</v>
      </c>
      <c r="J63" s="231">
        <v>1463.9493</v>
      </c>
      <c r="K63" s="231">
        <v>1465.0682999999999</v>
      </c>
      <c r="L63" s="231">
        <v>3198.0582000000004</v>
      </c>
      <c r="M63" s="231">
        <v>2699.5424000000003</v>
      </c>
      <c r="N63" s="231">
        <v>7573.8266999999996</v>
      </c>
      <c r="O63" s="53">
        <f t="shared" si="0"/>
        <v>41404.742099999996</v>
      </c>
    </row>
    <row r="64" spans="1:15">
      <c r="A64" s="231"/>
      <c r="B64" s="288" t="s">
        <v>41</v>
      </c>
      <c r="C64" s="231">
        <v>42403.8226</v>
      </c>
      <c r="D64" s="231">
        <v>42560.636500000001</v>
      </c>
      <c r="E64" s="231">
        <v>46559.880499999999</v>
      </c>
      <c r="F64" s="231">
        <v>39685.7258</v>
      </c>
      <c r="G64" s="231">
        <v>37375.774100000002</v>
      </c>
      <c r="H64" s="231">
        <v>30253.633600000001</v>
      </c>
      <c r="I64" s="231">
        <v>30125.201499999999</v>
      </c>
      <c r="J64" s="231">
        <v>30282.537400000001</v>
      </c>
      <c r="K64" s="231">
        <v>25208.577700000002</v>
      </c>
      <c r="L64" s="231">
        <v>24850.981</v>
      </c>
      <c r="M64" s="231">
        <v>28521.6387</v>
      </c>
      <c r="N64" s="231">
        <v>29279.372599999999</v>
      </c>
      <c r="O64" s="53">
        <f t="shared" si="0"/>
        <v>407107.78200000012</v>
      </c>
    </row>
    <row r="65" spans="1:15">
      <c r="A65" s="8"/>
      <c r="B65" s="9" t="s">
        <v>42</v>
      </c>
      <c r="C65" s="8">
        <v>279074.24440000003</v>
      </c>
      <c r="D65" s="8">
        <v>256096.193</v>
      </c>
      <c r="E65" s="8">
        <v>247451.6403</v>
      </c>
      <c r="F65" s="8">
        <v>235879.55900000001</v>
      </c>
      <c r="G65" s="8">
        <v>192975.3101</v>
      </c>
      <c r="H65" s="8">
        <v>166865.6839</v>
      </c>
      <c r="I65" s="8">
        <v>172919.0638</v>
      </c>
      <c r="J65" s="8">
        <v>152406.72769999999</v>
      </c>
      <c r="K65" s="8">
        <v>150154.728</v>
      </c>
      <c r="L65" s="8">
        <v>167166.2334</v>
      </c>
      <c r="M65" s="8">
        <v>191294.28650000002</v>
      </c>
      <c r="N65" s="8">
        <v>211110.11060000001</v>
      </c>
      <c r="O65" s="53">
        <f t="shared" si="0"/>
        <v>2423393.7807</v>
      </c>
    </row>
    <row r="66" spans="1:15">
      <c r="A66" s="231"/>
      <c r="B66" s="288"/>
      <c r="C66" s="231"/>
      <c r="D66" s="231"/>
      <c r="E66" s="231"/>
      <c r="F66" s="231"/>
      <c r="G66" s="231"/>
      <c r="H66" s="231"/>
      <c r="I66" s="231"/>
      <c r="J66" s="231"/>
      <c r="K66" s="231"/>
      <c r="L66" s="231"/>
      <c r="M66" s="231"/>
      <c r="N66" s="231"/>
      <c r="O66" s="53"/>
    </row>
    <row r="67" spans="1:15">
      <c r="A67" s="288" t="s">
        <v>46</v>
      </c>
      <c r="B67" s="288" t="s">
        <v>26</v>
      </c>
      <c r="C67" s="231">
        <v>103.9</v>
      </c>
      <c r="D67" s="231">
        <v>109.6</v>
      </c>
      <c r="E67" s="231">
        <v>87.5</v>
      </c>
      <c r="F67" s="231">
        <v>65.599999999999994</v>
      </c>
      <c r="G67" s="231">
        <v>35.5</v>
      </c>
      <c r="H67" s="231">
        <v>8.8000000000000007</v>
      </c>
      <c r="I67" s="231">
        <v>5.5</v>
      </c>
      <c r="J67" s="231">
        <v>4.9000000000000004</v>
      </c>
      <c r="K67" s="231">
        <v>5.7</v>
      </c>
      <c r="L67" s="231">
        <v>15.7</v>
      </c>
      <c r="M67" s="231">
        <v>53.5</v>
      </c>
      <c r="N67" s="231">
        <v>103.3</v>
      </c>
      <c r="O67" s="53">
        <f t="shared" si="0"/>
        <v>599.5</v>
      </c>
    </row>
    <row r="68" spans="1:15">
      <c r="A68" s="231"/>
      <c r="B68" s="288" t="s">
        <v>27</v>
      </c>
      <c r="C68" s="288" t="s">
        <v>45</v>
      </c>
      <c r="D68" s="288" t="s">
        <v>45</v>
      </c>
      <c r="E68" s="288" t="s">
        <v>45</v>
      </c>
      <c r="F68" s="288" t="s">
        <v>45</v>
      </c>
      <c r="G68" s="288" t="s">
        <v>45</v>
      </c>
      <c r="H68" s="288" t="s">
        <v>45</v>
      </c>
      <c r="I68" s="288" t="s">
        <v>45</v>
      </c>
      <c r="J68" s="288" t="s">
        <v>45</v>
      </c>
      <c r="K68" s="288" t="s">
        <v>45</v>
      </c>
      <c r="L68" s="288" t="s">
        <v>45</v>
      </c>
      <c r="M68" s="288" t="s">
        <v>45</v>
      </c>
      <c r="N68" s="288" t="s">
        <v>45</v>
      </c>
      <c r="O68" s="53">
        <f t="shared" si="0"/>
        <v>0</v>
      </c>
    </row>
    <row r="69" spans="1:15">
      <c r="A69" s="231"/>
      <c r="B69" s="294" t="s">
        <v>28</v>
      </c>
      <c r="C69" s="293">
        <v>6604.9782000000005</v>
      </c>
      <c r="D69" s="293">
        <v>4748.3981000000003</v>
      </c>
      <c r="E69" s="293">
        <v>4426.7819</v>
      </c>
      <c r="F69" s="293">
        <v>3799.4865999999997</v>
      </c>
      <c r="G69" s="293">
        <v>3161.4677000000001</v>
      </c>
      <c r="H69" s="293">
        <v>1857.4938999999999</v>
      </c>
      <c r="I69" s="293">
        <v>2091.1153999999997</v>
      </c>
      <c r="J69" s="293">
        <v>2225.8522000000003</v>
      </c>
      <c r="K69" s="293">
        <v>2731.4349999999999</v>
      </c>
      <c r="L69" s="293">
        <v>4834.9594999999999</v>
      </c>
      <c r="M69" s="293">
        <v>5694.9708999999993</v>
      </c>
      <c r="N69" s="293">
        <v>7475.9706999999999</v>
      </c>
      <c r="O69" s="54">
        <f t="shared" si="0"/>
        <v>49652.910100000001</v>
      </c>
    </row>
    <row r="70" spans="1:15">
      <c r="A70" s="231"/>
      <c r="B70" s="288" t="s">
        <v>29</v>
      </c>
      <c r="C70" s="231">
        <v>673</v>
      </c>
      <c r="D70" s="231">
        <v>617.20000000000005</v>
      </c>
      <c r="E70" s="231">
        <v>473</v>
      </c>
      <c r="F70" s="231">
        <v>374.4</v>
      </c>
      <c r="G70" s="231">
        <v>171.7</v>
      </c>
      <c r="H70" s="231">
        <v>91.9</v>
      </c>
      <c r="I70" s="231">
        <v>100.4</v>
      </c>
      <c r="J70" s="231">
        <v>94.3</v>
      </c>
      <c r="K70" s="231">
        <v>94.8</v>
      </c>
      <c r="L70" s="231">
        <v>146.30000000000001</v>
      </c>
      <c r="M70" s="231">
        <v>365.8</v>
      </c>
      <c r="N70" s="231">
        <v>587.6</v>
      </c>
      <c r="O70" s="53">
        <f t="shared" si="0"/>
        <v>3790.4000000000005</v>
      </c>
    </row>
    <row r="71" spans="1:15">
      <c r="A71" s="231"/>
      <c r="B71" s="288" t="s">
        <v>30</v>
      </c>
      <c r="C71" s="288" t="s">
        <v>45</v>
      </c>
      <c r="D71" s="288" t="s">
        <v>45</v>
      </c>
      <c r="E71" s="288" t="s">
        <v>45</v>
      </c>
      <c r="F71" s="288" t="s">
        <v>45</v>
      </c>
      <c r="G71" s="288" t="s">
        <v>45</v>
      </c>
      <c r="H71" s="288" t="s">
        <v>45</v>
      </c>
      <c r="I71" s="288" t="s">
        <v>45</v>
      </c>
      <c r="J71" s="288" t="s">
        <v>45</v>
      </c>
      <c r="K71" s="288" t="s">
        <v>45</v>
      </c>
      <c r="L71" s="288" t="s">
        <v>45</v>
      </c>
      <c r="M71" s="288" t="s">
        <v>45</v>
      </c>
      <c r="N71" s="288" t="s">
        <v>45</v>
      </c>
      <c r="O71" s="53">
        <f t="shared" si="0"/>
        <v>0</v>
      </c>
    </row>
    <row r="72" spans="1:15">
      <c r="A72" s="231"/>
      <c r="B72" s="288" t="s">
        <v>31</v>
      </c>
      <c r="C72" s="231">
        <v>1105.3733999999999</v>
      </c>
      <c r="D72" s="231">
        <v>1078.1660999999999</v>
      </c>
      <c r="E72" s="231">
        <v>968.86659999999995</v>
      </c>
      <c r="F72" s="231">
        <v>731.35040000000004</v>
      </c>
      <c r="G72" s="231">
        <v>479.04250000000002</v>
      </c>
      <c r="H72" s="231">
        <v>431.91419999999999</v>
      </c>
      <c r="I72" s="231">
        <v>342.67509999999999</v>
      </c>
      <c r="J72" s="231">
        <v>282.21300000000002</v>
      </c>
      <c r="K72" s="231">
        <v>317.4323</v>
      </c>
      <c r="L72" s="231">
        <v>430.9837</v>
      </c>
      <c r="M72" s="231">
        <v>582.94079999999997</v>
      </c>
      <c r="N72" s="231">
        <v>1014.4823</v>
      </c>
      <c r="O72" s="53">
        <f t="shared" si="0"/>
        <v>7765.4403999999995</v>
      </c>
    </row>
    <row r="73" spans="1:15">
      <c r="A73" s="231"/>
      <c r="B73" s="288" t="s">
        <v>32</v>
      </c>
      <c r="C73" s="288" t="s">
        <v>45</v>
      </c>
      <c r="D73" s="288" t="s">
        <v>45</v>
      </c>
      <c r="E73" s="288" t="s">
        <v>45</v>
      </c>
      <c r="F73" s="288" t="s">
        <v>45</v>
      </c>
      <c r="G73" s="288" t="s">
        <v>45</v>
      </c>
      <c r="H73" s="288" t="s">
        <v>45</v>
      </c>
      <c r="I73" s="288" t="s">
        <v>45</v>
      </c>
      <c r="J73" s="288" t="s">
        <v>45</v>
      </c>
      <c r="K73" s="288" t="s">
        <v>45</v>
      </c>
      <c r="L73" s="288" t="s">
        <v>45</v>
      </c>
      <c r="M73" s="288" t="s">
        <v>45</v>
      </c>
      <c r="N73" s="288" t="s">
        <v>45</v>
      </c>
      <c r="O73" s="53">
        <f t="shared" si="0"/>
        <v>0</v>
      </c>
    </row>
    <row r="74" spans="1:15">
      <c r="A74" s="231"/>
      <c r="B74" s="288" t="s">
        <v>33</v>
      </c>
      <c r="C74" s="288" t="s">
        <v>45</v>
      </c>
      <c r="D74" s="288" t="s">
        <v>45</v>
      </c>
      <c r="E74" s="288" t="s">
        <v>45</v>
      </c>
      <c r="F74" s="288" t="s">
        <v>45</v>
      </c>
      <c r="G74" s="288" t="s">
        <v>45</v>
      </c>
      <c r="H74" s="288" t="s">
        <v>45</v>
      </c>
      <c r="I74" s="288" t="s">
        <v>45</v>
      </c>
      <c r="J74" s="288" t="s">
        <v>45</v>
      </c>
      <c r="K74" s="288" t="s">
        <v>45</v>
      </c>
      <c r="L74" s="288" t="s">
        <v>45</v>
      </c>
      <c r="M74" s="288" t="s">
        <v>45</v>
      </c>
      <c r="N74" s="288" t="s">
        <v>45</v>
      </c>
      <c r="O74" s="53">
        <f t="shared" si="0"/>
        <v>0</v>
      </c>
    </row>
    <row r="75" spans="1:15">
      <c r="A75" s="231"/>
      <c r="B75" s="288" t="s">
        <v>34</v>
      </c>
      <c r="C75" s="288" t="s">
        <v>45</v>
      </c>
      <c r="D75" s="288" t="s">
        <v>45</v>
      </c>
      <c r="E75" s="288" t="s">
        <v>45</v>
      </c>
      <c r="F75" s="288" t="s">
        <v>45</v>
      </c>
      <c r="G75" s="288" t="s">
        <v>45</v>
      </c>
      <c r="H75" s="288" t="s">
        <v>45</v>
      </c>
      <c r="I75" s="288" t="s">
        <v>45</v>
      </c>
      <c r="J75" s="288" t="s">
        <v>45</v>
      </c>
      <c r="K75" s="288" t="s">
        <v>45</v>
      </c>
      <c r="L75" s="288" t="s">
        <v>45</v>
      </c>
      <c r="M75" s="288" t="s">
        <v>45</v>
      </c>
      <c r="N75" s="288" t="s">
        <v>45</v>
      </c>
      <c r="O75" s="53">
        <f t="shared" si="0"/>
        <v>0</v>
      </c>
    </row>
    <row r="76" spans="1:15">
      <c r="A76" s="231"/>
      <c r="B76" s="288" t="s">
        <v>35</v>
      </c>
      <c r="C76" s="288" t="s">
        <v>45</v>
      </c>
      <c r="D76" s="288" t="s">
        <v>45</v>
      </c>
      <c r="E76" s="288" t="s">
        <v>45</v>
      </c>
      <c r="F76" s="288" t="s">
        <v>45</v>
      </c>
      <c r="G76" s="288" t="s">
        <v>45</v>
      </c>
      <c r="H76" s="288" t="s">
        <v>45</v>
      </c>
      <c r="I76" s="288" t="s">
        <v>45</v>
      </c>
      <c r="J76" s="288" t="s">
        <v>45</v>
      </c>
      <c r="K76" s="288" t="s">
        <v>45</v>
      </c>
      <c r="L76" s="288" t="s">
        <v>45</v>
      </c>
      <c r="M76" s="288" t="s">
        <v>45</v>
      </c>
      <c r="N76" s="288" t="s">
        <v>45</v>
      </c>
      <c r="O76" s="53">
        <f t="shared" si="0"/>
        <v>0</v>
      </c>
    </row>
    <row r="77" spans="1:15">
      <c r="A77" s="231"/>
      <c r="B77" s="288" t="s">
        <v>36</v>
      </c>
      <c r="C77" s="231">
        <v>1884.2</v>
      </c>
      <c r="D77" s="231">
        <v>2082.5</v>
      </c>
      <c r="E77" s="231">
        <v>1655.6</v>
      </c>
      <c r="F77" s="231">
        <v>1321.8</v>
      </c>
      <c r="G77" s="231">
        <v>655.5</v>
      </c>
      <c r="H77" s="231">
        <v>624.29999999999995</v>
      </c>
      <c r="I77" s="231">
        <v>336.1</v>
      </c>
      <c r="J77" s="231">
        <v>316.5</v>
      </c>
      <c r="K77" s="231">
        <v>320</v>
      </c>
      <c r="L77" s="231">
        <v>476</v>
      </c>
      <c r="M77" s="231">
        <v>966.8</v>
      </c>
      <c r="N77" s="231">
        <v>1927.3</v>
      </c>
      <c r="O77" s="53">
        <f t="shared" si="0"/>
        <v>12566.599999999999</v>
      </c>
    </row>
    <row r="78" spans="1:15">
      <c r="A78" s="231"/>
      <c r="B78" s="288" t="s">
        <v>37</v>
      </c>
      <c r="C78" s="288" t="s">
        <v>45</v>
      </c>
      <c r="D78" s="288" t="s">
        <v>45</v>
      </c>
      <c r="E78" s="288" t="s">
        <v>45</v>
      </c>
      <c r="F78" s="288" t="s">
        <v>45</v>
      </c>
      <c r="G78" s="288" t="s">
        <v>45</v>
      </c>
      <c r="H78" s="288" t="s">
        <v>45</v>
      </c>
      <c r="I78" s="288" t="s">
        <v>45</v>
      </c>
      <c r="J78" s="288" t="s">
        <v>45</v>
      </c>
      <c r="K78" s="288" t="s">
        <v>45</v>
      </c>
      <c r="L78" s="288" t="s">
        <v>45</v>
      </c>
      <c r="M78" s="288" t="s">
        <v>45</v>
      </c>
      <c r="N78" s="288" t="s">
        <v>45</v>
      </c>
      <c r="O78" s="53">
        <f t="shared" ref="O78:O137" si="1">SUM(C78:N78)</f>
        <v>0</v>
      </c>
    </row>
    <row r="79" spans="1:15">
      <c r="A79" s="231"/>
      <c r="B79" s="288" t="s">
        <v>38</v>
      </c>
      <c r="C79" s="231">
        <v>303.53210000000001</v>
      </c>
      <c r="D79" s="231">
        <v>389.60379999999998</v>
      </c>
      <c r="E79" s="231">
        <v>316.2253</v>
      </c>
      <c r="F79" s="231">
        <v>231.0172</v>
      </c>
      <c r="G79" s="231">
        <v>159.2902</v>
      </c>
      <c r="H79" s="231">
        <v>87.123800000000003</v>
      </c>
      <c r="I79" s="231">
        <v>28.482700000000001</v>
      </c>
      <c r="J79" s="231">
        <v>33.361899999999999</v>
      </c>
      <c r="K79" s="231">
        <v>27.227</v>
      </c>
      <c r="L79" s="231">
        <v>108.3117</v>
      </c>
      <c r="M79" s="231">
        <v>177.01519999999999</v>
      </c>
      <c r="N79" s="231">
        <v>429.6078</v>
      </c>
      <c r="O79" s="53">
        <f t="shared" si="1"/>
        <v>2290.7987000000003</v>
      </c>
    </row>
    <row r="80" spans="1:15">
      <c r="A80" s="231"/>
      <c r="B80" s="288" t="s">
        <v>39</v>
      </c>
      <c r="C80" s="231">
        <v>10.414</v>
      </c>
      <c r="D80" s="231">
        <v>21.052</v>
      </c>
      <c r="E80" s="231">
        <v>24.859300000000001</v>
      </c>
      <c r="F80" s="231">
        <v>24.971299999999999</v>
      </c>
      <c r="G80" s="231">
        <v>24.1874</v>
      </c>
      <c r="H80" s="288" t="s">
        <v>45</v>
      </c>
      <c r="I80" s="288" t="s">
        <v>45</v>
      </c>
      <c r="J80" s="288" t="s">
        <v>45</v>
      </c>
      <c r="K80" s="231">
        <v>16.572900000000001</v>
      </c>
      <c r="L80" s="231">
        <v>79.504999999999995</v>
      </c>
      <c r="M80" s="231">
        <v>56.661299999999997</v>
      </c>
      <c r="N80" s="231">
        <v>50.950400000000002</v>
      </c>
      <c r="O80" s="53">
        <f t="shared" si="1"/>
        <v>309.17359999999996</v>
      </c>
    </row>
    <row r="81" spans="1:15">
      <c r="A81" s="231"/>
      <c r="B81" s="288" t="s">
        <v>40</v>
      </c>
      <c r="C81" s="231">
        <v>128.30000000000001</v>
      </c>
      <c r="D81" s="231">
        <v>140.5</v>
      </c>
      <c r="E81" s="231">
        <v>129.5</v>
      </c>
      <c r="F81" s="231">
        <v>93.6</v>
      </c>
      <c r="G81" s="231">
        <v>35.1</v>
      </c>
      <c r="H81" s="231">
        <v>9.8000000000000007</v>
      </c>
      <c r="I81" s="231">
        <v>1.6</v>
      </c>
      <c r="J81" s="231">
        <v>0.7</v>
      </c>
      <c r="K81" s="231">
        <v>1</v>
      </c>
      <c r="L81" s="231">
        <v>13.9</v>
      </c>
      <c r="M81" s="231">
        <v>73.900000000000006</v>
      </c>
      <c r="N81" s="231">
        <v>157.5</v>
      </c>
      <c r="O81" s="53">
        <f t="shared" si="1"/>
        <v>785.4</v>
      </c>
    </row>
    <row r="82" spans="1:15">
      <c r="A82" s="231"/>
      <c r="B82" s="288" t="s">
        <v>41</v>
      </c>
      <c r="C82" s="231">
        <v>1757.9081000000001</v>
      </c>
      <c r="D82" s="231">
        <v>1423.3034</v>
      </c>
      <c r="E82" s="231">
        <v>1177.7616</v>
      </c>
      <c r="F82" s="231">
        <v>993.72180000000003</v>
      </c>
      <c r="G82" s="231">
        <v>481.25170000000003</v>
      </c>
      <c r="H82" s="231">
        <v>255.90649999999999</v>
      </c>
      <c r="I82" s="231">
        <v>205.90379999999999</v>
      </c>
      <c r="J82" s="231">
        <v>178.55170000000001</v>
      </c>
      <c r="K82" s="231">
        <v>212.875</v>
      </c>
      <c r="L82" s="231">
        <v>527.91489999999999</v>
      </c>
      <c r="M82" s="231">
        <v>962.25030000000004</v>
      </c>
      <c r="N82" s="231">
        <v>1551.4912999999999</v>
      </c>
      <c r="O82" s="53">
        <f t="shared" si="1"/>
        <v>9728.8400999999994</v>
      </c>
    </row>
    <row r="83" spans="1:15">
      <c r="A83" s="8"/>
      <c r="B83" s="9" t="s">
        <v>42</v>
      </c>
      <c r="C83" s="8">
        <v>12571.605800000001</v>
      </c>
      <c r="D83" s="8">
        <v>10610.323399999997</v>
      </c>
      <c r="E83" s="8">
        <v>9260.0947000000015</v>
      </c>
      <c r="F83" s="8">
        <v>7635.9472999999998</v>
      </c>
      <c r="G83" s="8">
        <v>5203.039499999999</v>
      </c>
      <c r="H83" s="8">
        <v>3367.2383999999993</v>
      </c>
      <c r="I83" s="8">
        <v>3111.777</v>
      </c>
      <c r="J83" s="8">
        <v>3136.3788</v>
      </c>
      <c r="K83" s="8">
        <v>3727.0421999999999</v>
      </c>
      <c r="L83" s="8">
        <v>6633.5748000000003</v>
      </c>
      <c r="M83" s="8">
        <v>8933.8384999999998</v>
      </c>
      <c r="N83" s="8">
        <v>13298.202499999999</v>
      </c>
      <c r="O83" s="53">
        <f t="shared" si="1"/>
        <v>87489.062900000004</v>
      </c>
    </row>
    <row r="84" spans="1:15">
      <c r="A84" s="231"/>
      <c r="B84" s="288"/>
      <c r="C84" s="231"/>
      <c r="D84" s="231"/>
      <c r="E84" s="231"/>
      <c r="F84" s="231"/>
      <c r="G84" s="231"/>
      <c r="H84" s="231"/>
      <c r="I84" s="231"/>
      <c r="J84" s="231"/>
      <c r="K84" s="231"/>
      <c r="L84" s="231"/>
      <c r="M84" s="231"/>
      <c r="N84" s="231"/>
      <c r="O84" s="53"/>
    </row>
    <row r="85" spans="1:15">
      <c r="A85" s="288" t="s">
        <v>47</v>
      </c>
      <c r="B85" s="288" t="s">
        <v>26</v>
      </c>
      <c r="C85" s="288" t="s">
        <v>45</v>
      </c>
      <c r="D85" s="288" t="s">
        <v>45</v>
      </c>
      <c r="E85" s="288" t="s">
        <v>45</v>
      </c>
      <c r="F85" s="288" t="s">
        <v>45</v>
      </c>
      <c r="G85" s="288" t="s">
        <v>45</v>
      </c>
      <c r="H85" s="288" t="s">
        <v>45</v>
      </c>
      <c r="I85" s="288" t="s">
        <v>45</v>
      </c>
      <c r="J85" s="288" t="s">
        <v>45</v>
      </c>
      <c r="K85" s="231">
        <v>4037</v>
      </c>
      <c r="L85" s="231">
        <v>3804</v>
      </c>
      <c r="M85" s="231">
        <v>4303</v>
      </c>
      <c r="N85" s="231">
        <v>3123</v>
      </c>
      <c r="O85" s="53">
        <f t="shared" si="1"/>
        <v>15267</v>
      </c>
    </row>
    <row r="86" spans="1:15">
      <c r="A86" s="231"/>
      <c r="B86" s="288" t="s">
        <v>27</v>
      </c>
      <c r="C86" s="231">
        <v>6586</v>
      </c>
      <c r="D86" s="231">
        <v>5133</v>
      </c>
      <c r="E86" s="231">
        <v>5878</v>
      </c>
      <c r="F86" s="231">
        <v>4739</v>
      </c>
      <c r="G86" s="231">
        <v>2758</v>
      </c>
      <c r="H86" s="231">
        <v>2022</v>
      </c>
      <c r="I86" s="231">
        <v>3760</v>
      </c>
      <c r="J86" s="231">
        <v>8091</v>
      </c>
      <c r="K86" s="231">
        <v>7228</v>
      </c>
      <c r="L86" s="231">
        <v>3671</v>
      </c>
      <c r="M86" s="231">
        <v>4053</v>
      </c>
      <c r="N86" s="231">
        <v>3976</v>
      </c>
      <c r="O86" s="53">
        <f t="shared" si="1"/>
        <v>57895</v>
      </c>
    </row>
    <row r="87" spans="1:15">
      <c r="A87" s="231"/>
      <c r="B87" s="294" t="s">
        <v>28</v>
      </c>
      <c r="C87" s="293">
        <v>15469.395</v>
      </c>
      <c r="D87" s="293">
        <v>4394</v>
      </c>
      <c r="E87" s="293">
        <v>1719</v>
      </c>
      <c r="F87" s="293">
        <v>17781</v>
      </c>
      <c r="G87" s="293">
        <v>17811</v>
      </c>
      <c r="H87" s="293">
        <v>4058</v>
      </c>
      <c r="I87" s="293">
        <v>269</v>
      </c>
      <c r="J87" s="293">
        <v>450</v>
      </c>
      <c r="K87" s="293">
        <v>17049</v>
      </c>
      <c r="L87" s="293">
        <v>5349</v>
      </c>
      <c r="M87" s="293">
        <v>18573</v>
      </c>
      <c r="N87" s="293">
        <v>44771</v>
      </c>
      <c r="O87" s="54">
        <f t="shared" si="1"/>
        <v>147693.39500000002</v>
      </c>
    </row>
    <row r="88" spans="1:15">
      <c r="A88" s="231"/>
      <c r="B88" s="288" t="s">
        <v>29</v>
      </c>
      <c r="C88" s="231">
        <v>11729</v>
      </c>
      <c r="D88" s="231">
        <v>9981</v>
      </c>
      <c r="E88" s="231">
        <v>11738</v>
      </c>
      <c r="F88" s="231">
        <v>14332</v>
      </c>
      <c r="G88" s="231">
        <v>14284</v>
      </c>
      <c r="H88" s="231">
        <v>14975</v>
      </c>
      <c r="I88" s="231">
        <v>11324</v>
      </c>
      <c r="J88" s="231">
        <v>15710.5</v>
      </c>
      <c r="K88" s="231">
        <v>24259.7</v>
      </c>
      <c r="L88" s="231">
        <v>24192.400000000001</v>
      </c>
      <c r="M88" s="231">
        <v>24849.5</v>
      </c>
      <c r="N88" s="231">
        <v>31375</v>
      </c>
      <c r="O88" s="53">
        <f t="shared" si="1"/>
        <v>208750.1</v>
      </c>
    </row>
    <row r="89" spans="1:15">
      <c r="A89" s="231"/>
      <c r="B89" s="288" t="s">
        <v>30</v>
      </c>
      <c r="C89" s="288" t="s">
        <v>45</v>
      </c>
      <c r="D89" s="288" t="s">
        <v>45</v>
      </c>
      <c r="E89" s="288" t="s">
        <v>45</v>
      </c>
      <c r="F89" s="288" t="s">
        <v>45</v>
      </c>
      <c r="G89" s="288" t="s">
        <v>45</v>
      </c>
      <c r="H89" s="288" t="s">
        <v>45</v>
      </c>
      <c r="I89" s="288" t="s">
        <v>45</v>
      </c>
      <c r="J89" s="288" t="s">
        <v>45</v>
      </c>
      <c r="K89" s="288" t="s">
        <v>45</v>
      </c>
      <c r="L89" s="288" t="s">
        <v>45</v>
      </c>
      <c r="M89" s="288" t="s">
        <v>45</v>
      </c>
      <c r="N89" s="288" t="s">
        <v>45</v>
      </c>
      <c r="O89" s="53">
        <f t="shared" si="1"/>
        <v>0</v>
      </c>
    </row>
    <row r="90" spans="1:15">
      <c r="A90" s="231"/>
      <c r="B90" s="288" t="s">
        <v>31</v>
      </c>
      <c r="C90" s="288" t="s">
        <v>45</v>
      </c>
      <c r="D90" s="288" t="s">
        <v>45</v>
      </c>
      <c r="E90" s="288" t="s">
        <v>45</v>
      </c>
      <c r="F90" s="288" t="s">
        <v>45</v>
      </c>
      <c r="G90" s="288" t="s">
        <v>45</v>
      </c>
      <c r="H90" s="288" t="s">
        <v>45</v>
      </c>
      <c r="I90" s="288" t="s">
        <v>45</v>
      </c>
      <c r="J90" s="288" t="s">
        <v>45</v>
      </c>
      <c r="K90" s="288" t="s">
        <v>45</v>
      </c>
      <c r="L90" s="288" t="s">
        <v>45</v>
      </c>
      <c r="M90" s="288" t="s">
        <v>45</v>
      </c>
      <c r="N90" s="288" t="s">
        <v>45</v>
      </c>
      <c r="O90" s="53">
        <f t="shared" si="1"/>
        <v>0</v>
      </c>
    </row>
    <row r="91" spans="1:15">
      <c r="A91" s="231"/>
      <c r="B91" s="288" t="s">
        <v>32</v>
      </c>
      <c r="C91" s="231">
        <v>58660</v>
      </c>
      <c r="D91" s="231">
        <v>21204</v>
      </c>
      <c r="E91" s="231">
        <v>32124</v>
      </c>
      <c r="F91" s="231">
        <v>30129</v>
      </c>
      <c r="G91" s="231">
        <v>19525</v>
      </c>
      <c r="H91" s="231">
        <v>12031</v>
      </c>
      <c r="I91" s="231">
        <v>7390</v>
      </c>
      <c r="J91" s="231">
        <v>9342</v>
      </c>
      <c r="K91" s="231">
        <v>17238</v>
      </c>
      <c r="L91" s="231">
        <v>34308</v>
      </c>
      <c r="M91" s="231">
        <v>37786.5</v>
      </c>
      <c r="N91" s="231">
        <v>39035</v>
      </c>
      <c r="O91" s="53">
        <f t="shared" si="1"/>
        <v>318772.5</v>
      </c>
    </row>
    <row r="92" spans="1:15">
      <c r="A92" s="231"/>
      <c r="B92" s="288" t="s">
        <v>33</v>
      </c>
      <c r="C92" s="288" t="s">
        <v>45</v>
      </c>
      <c r="D92" s="288" t="s">
        <v>45</v>
      </c>
      <c r="E92" s="288" t="s">
        <v>45</v>
      </c>
      <c r="F92" s="288" t="s">
        <v>45</v>
      </c>
      <c r="G92" s="288" t="s">
        <v>45</v>
      </c>
      <c r="H92" s="288" t="s">
        <v>45</v>
      </c>
      <c r="I92" s="288" t="s">
        <v>45</v>
      </c>
      <c r="J92" s="288" t="s">
        <v>45</v>
      </c>
      <c r="K92" s="288" t="s">
        <v>45</v>
      </c>
      <c r="L92" s="288" t="s">
        <v>45</v>
      </c>
      <c r="M92" s="288" t="s">
        <v>45</v>
      </c>
      <c r="N92" s="288" t="s">
        <v>45</v>
      </c>
      <c r="O92" s="53">
        <f t="shared" si="1"/>
        <v>0</v>
      </c>
    </row>
    <row r="93" spans="1:15">
      <c r="A93" s="231"/>
      <c r="B93" s="288" t="s">
        <v>34</v>
      </c>
      <c r="C93" s="288" t="s">
        <v>45</v>
      </c>
      <c r="D93" s="288" t="s">
        <v>45</v>
      </c>
      <c r="E93" s="288" t="s">
        <v>45</v>
      </c>
      <c r="F93" s="288" t="s">
        <v>45</v>
      </c>
      <c r="G93" s="288" t="s">
        <v>45</v>
      </c>
      <c r="H93" s="288" t="s">
        <v>45</v>
      </c>
      <c r="I93" s="288" t="s">
        <v>45</v>
      </c>
      <c r="J93" s="288" t="s">
        <v>45</v>
      </c>
      <c r="K93" s="288" t="s">
        <v>45</v>
      </c>
      <c r="L93" s="288" t="s">
        <v>45</v>
      </c>
      <c r="M93" s="288" t="s">
        <v>45</v>
      </c>
      <c r="N93" s="288" t="s">
        <v>45</v>
      </c>
      <c r="O93" s="53">
        <f t="shared" si="1"/>
        <v>0</v>
      </c>
    </row>
    <row r="94" spans="1:15">
      <c r="A94" s="231"/>
      <c r="B94" s="288" t="s">
        <v>35</v>
      </c>
      <c r="C94" s="288" t="s">
        <v>45</v>
      </c>
      <c r="D94" s="288" t="s">
        <v>45</v>
      </c>
      <c r="E94" s="288" t="s">
        <v>45</v>
      </c>
      <c r="F94" s="288" t="s">
        <v>45</v>
      </c>
      <c r="G94" s="288" t="s">
        <v>45</v>
      </c>
      <c r="H94" s="288" t="s">
        <v>45</v>
      </c>
      <c r="I94" s="288" t="s">
        <v>45</v>
      </c>
      <c r="J94" s="288" t="s">
        <v>45</v>
      </c>
      <c r="K94" s="288" t="s">
        <v>45</v>
      </c>
      <c r="L94" s="288" t="s">
        <v>45</v>
      </c>
      <c r="M94" s="288" t="s">
        <v>45</v>
      </c>
      <c r="N94" s="288" t="s">
        <v>45</v>
      </c>
      <c r="O94" s="53">
        <f t="shared" si="1"/>
        <v>0</v>
      </c>
    </row>
    <row r="95" spans="1:15">
      <c r="A95" s="231"/>
      <c r="B95" s="288" t="s">
        <v>36</v>
      </c>
      <c r="C95" s="231">
        <v>18593</v>
      </c>
      <c r="D95" s="231">
        <v>20229</v>
      </c>
      <c r="E95" s="231">
        <v>20607</v>
      </c>
      <c r="F95" s="231">
        <v>18692</v>
      </c>
      <c r="G95" s="231">
        <v>14751</v>
      </c>
      <c r="H95" s="231">
        <v>11358</v>
      </c>
      <c r="I95" s="231">
        <v>9652</v>
      </c>
      <c r="J95" s="231">
        <v>9389</v>
      </c>
      <c r="K95" s="231">
        <v>8245</v>
      </c>
      <c r="L95" s="231">
        <v>9047</v>
      </c>
      <c r="M95" s="231">
        <v>10860.5</v>
      </c>
      <c r="N95" s="231">
        <v>14921</v>
      </c>
      <c r="O95" s="53">
        <f t="shared" si="1"/>
        <v>166344.5</v>
      </c>
    </row>
    <row r="96" spans="1:15">
      <c r="A96" s="231"/>
      <c r="B96" s="288" t="s">
        <v>37</v>
      </c>
      <c r="C96" s="288" t="s">
        <v>45</v>
      </c>
      <c r="D96" s="288" t="s">
        <v>45</v>
      </c>
      <c r="E96" s="288" t="s">
        <v>45</v>
      </c>
      <c r="F96" s="288" t="s">
        <v>45</v>
      </c>
      <c r="G96" s="288" t="s">
        <v>45</v>
      </c>
      <c r="H96" s="288" t="s">
        <v>45</v>
      </c>
      <c r="I96" s="288" t="s">
        <v>45</v>
      </c>
      <c r="J96" s="288" t="s">
        <v>45</v>
      </c>
      <c r="K96" s="288" t="s">
        <v>45</v>
      </c>
      <c r="L96" s="288" t="s">
        <v>45</v>
      </c>
      <c r="M96" s="288" t="s">
        <v>45</v>
      </c>
      <c r="N96" s="288" t="s">
        <v>45</v>
      </c>
      <c r="O96" s="53">
        <f t="shared" si="1"/>
        <v>0</v>
      </c>
    </row>
    <row r="97" spans="1:15">
      <c r="A97" s="231"/>
      <c r="B97" s="288" t="s">
        <v>38</v>
      </c>
      <c r="C97" s="231">
        <v>84299.5</v>
      </c>
      <c r="D97" s="231">
        <v>55384</v>
      </c>
      <c r="E97" s="231">
        <v>56924</v>
      </c>
      <c r="F97" s="231">
        <v>47151</v>
      </c>
      <c r="G97" s="231">
        <v>36671</v>
      </c>
      <c r="H97" s="231">
        <v>30498</v>
      </c>
      <c r="I97" s="231">
        <v>29984</v>
      </c>
      <c r="J97" s="231">
        <v>34845</v>
      </c>
      <c r="K97" s="231">
        <v>34740</v>
      </c>
      <c r="L97" s="231">
        <v>41176</v>
      </c>
      <c r="M97" s="231">
        <v>40087.5</v>
      </c>
      <c r="N97" s="231">
        <v>41304</v>
      </c>
      <c r="O97" s="53">
        <f t="shared" si="1"/>
        <v>533064</v>
      </c>
    </row>
    <row r="98" spans="1:15">
      <c r="A98" s="231"/>
      <c r="B98" s="288" t="s">
        <v>39</v>
      </c>
      <c r="C98" s="231">
        <v>40810</v>
      </c>
      <c r="D98" s="231">
        <v>36522</v>
      </c>
      <c r="E98" s="231">
        <v>33340</v>
      </c>
      <c r="F98" s="231">
        <v>25756</v>
      </c>
      <c r="G98" s="231">
        <v>22774</v>
      </c>
      <c r="H98" s="231">
        <v>15467</v>
      </c>
      <c r="I98" s="231">
        <v>13968</v>
      </c>
      <c r="J98" s="231">
        <v>37456</v>
      </c>
      <c r="K98" s="231">
        <v>17236</v>
      </c>
      <c r="L98" s="231">
        <v>19665</v>
      </c>
      <c r="M98" s="231">
        <v>27659.5</v>
      </c>
      <c r="N98" s="231">
        <v>5275</v>
      </c>
      <c r="O98" s="53">
        <f t="shared" si="1"/>
        <v>295928.5</v>
      </c>
    </row>
    <row r="99" spans="1:15">
      <c r="A99" s="231"/>
      <c r="B99" s="288" t="s">
        <v>40</v>
      </c>
      <c r="C99" s="288" t="s">
        <v>45</v>
      </c>
      <c r="D99" s="288" t="s">
        <v>45</v>
      </c>
      <c r="E99" s="288" t="s">
        <v>45</v>
      </c>
      <c r="F99" s="288" t="s">
        <v>45</v>
      </c>
      <c r="G99" s="288" t="s">
        <v>45</v>
      </c>
      <c r="H99" s="288" t="s">
        <v>45</v>
      </c>
      <c r="I99" s="288" t="s">
        <v>45</v>
      </c>
      <c r="J99" s="288" t="s">
        <v>45</v>
      </c>
      <c r="K99" s="288" t="s">
        <v>45</v>
      </c>
      <c r="L99" s="288" t="s">
        <v>45</v>
      </c>
      <c r="M99" s="288" t="s">
        <v>45</v>
      </c>
      <c r="N99" s="288" t="s">
        <v>45</v>
      </c>
      <c r="O99" s="53">
        <f t="shared" si="1"/>
        <v>0</v>
      </c>
    </row>
    <row r="100" spans="1:15">
      <c r="A100" s="231"/>
      <c r="B100" s="288" t="s">
        <v>41</v>
      </c>
      <c r="C100" s="288" t="s">
        <v>45</v>
      </c>
      <c r="D100" s="231">
        <v>8767</v>
      </c>
      <c r="E100" s="231">
        <v>14769</v>
      </c>
      <c r="F100" s="231">
        <v>7244</v>
      </c>
      <c r="G100" s="231">
        <v>6619</v>
      </c>
      <c r="H100" s="231">
        <v>5641</v>
      </c>
      <c r="I100" s="231">
        <v>6150</v>
      </c>
      <c r="J100" s="231">
        <v>983845</v>
      </c>
      <c r="K100" s="231">
        <v>-977985</v>
      </c>
      <c r="L100" s="231">
        <v>12821</v>
      </c>
      <c r="M100" s="231">
        <v>10012</v>
      </c>
      <c r="N100" s="231">
        <v>5999</v>
      </c>
      <c r="O100" s="53">
        <f t="shared" si="1"/>
        <v>83882</v>
      </c>
    </row>
    <row r="101" spans="1:15">
      <c r="A101" s="8"/>
      <c r="B101" s="9" t="s">
        <v>42</v>
      </c>
      <c r="C101" s="8">
        <v>236146.89499999999</v>
      </c>
      <c r="D101" s="8">
        <v>161614</v>
      </c>
      <c r="E101" s="8">
        <v>177099</v>
      </c>
      <c r="F101" s="8">
        <v>165824</v>
      </c>
      <c r="G101" s="8">
        <v>135193</v>
      </c>
      <c r="H101" s="8">
        <v>96050</v>
      </c>
      <c r="I101" s="8">
        <v>82497</v>
      </c>
      <c r="J101" s="8">
        <v>1099128.5</v>
      </c>
      <c r="K101" s="8">
        <v>-847952.3</v>
      </c>
      <c r="L101" s="8">
        <v>154033.4</v>
      </c>
      <c r="M101" s="8">
        <v>178184.5</v>
      </c>
      <c r="N101" s="8">
        <v>189779</v>
      </c>
      <c r="O101" s="53">
        <f t="shared" si="1"/>
        <v>1827596.9949999999</v>
      </c>
    </row>
    <row r="102" spans="1:15">
      <c r="A102" s="231"/>
      <c r="B102" s="288"/>
      <c r="C102" s="231"/>
      <c r="D102" s="231"/>
      <c r="E102" s="231"/>
      <c r="F102" s="231"/>
      <c r="G102" s="231"/>
      <c r="H102" s="231"/>
      <c r="I102" s="231"/>
      <c r="J102" s="231"/>
      <c r="K102" s="231"/>
      <c r="L102" s="231"/>
      <c r="M102" s="231"/>
      <c r="N102" s="231"/>
      <c r="O102" s="53"/>
    </row>
    <row r="103" spans="1:15">
      <c r="A103" s="288" t="s">
        <v>48</v>
      </c>
      <c r="B103" s="288" t="s">
        <v>26</v>
      </c>
      <c r="C103" s="231">
        <v>185.1592</v>
      </c>
      <c r="D103" s="231">
        <v>154.37710000000001</v>
      </c>
      <c r="E103" s="231">
        <v>139.17310000000001</v>
      </c>
      <c r="F103" s="231">
        <v>87.810199999999995</v>
      </c>
      <c r="G103" s="231">
        <v>44.914000000000001</v>
      </c>
      <c r="H103" s="231">
        <v>17.667300000000001</v>
      </c>
      <c r="I103" s="231">
        <v>17.200399999999998</v>
      </c>
      <c r="J103" s="231">
        <v>34.5503</v>
      </c>
      <c r="K103" s="231">
        <v>39.4529</v>
      </c>
      <c r="L103" s="231">
        <v>79.504499999999993</v>
      </c>
      <c r="M103" s="231">
        <v>116.7264</v>
      </c>
      <c r="N103" s="231">
        <v>168.1876</v>
      </c>
      <c r="O103" s="53">
        <f t="shared" si="1"/>
        <v>1084.723</v>
      </c>
    </row>
    <row r="104" spans="1:15">
      <c r="A104" s="231"/>
      <c r="B104" s="288" t="s">
        <v>27</v>
      </c>
      <c r="C104" s="231">
        <v>60.818300000000001</v>
      </c>
      <c r="D104" s="231">
        <v>50.073</v>
      </c>
      <c r="E104" s="231">
        <v>45.774900000000002</v>
      </c>
      <c r="F104" s="231">
        <v>35.029600000000002</v>
      </c>
      <c r="G104" s="231">
        <v>26.433399999999999</v>
      </c>
      <c r="H104" s="231">
        <v>15.6881</v>
      </c>
      <c r="I104" s="231">
        <v>18.266999999999999</v>
      </c>
      <c r="J104" s="231">
        <v>10.3155</v>
      </c>
      <c r="K104" s="231">
        <v>10.7453</v>
      </c>
      <c r="L104" s="231">
        <v>19.7713</v>
      </c>
      <c r="M104" s="231">
        <v>37.823399999999999</v>
      </c>
      <c r="N104" s="231">
        <v>50.932600000000001</v>
      </c>
      <c r="O104" s="53">
        <f t="shared" si="1"/>
        <v>381.67239999999998</v>
      </c>
    </row>
    <row r="105" spans="1:15">
      <c r="A105" s="231"/>
      <c r="B105" s="294" t="s">
        <v>28</v>
      </c>
      <c r="C105" s="294" t="s">
        <v>45</v>
      </c>
      <c r="D105" s="294" t="s">
        <v>45</v>
      </c>
      <c r="E105" s="294" t="s">
        <v>45</v>
      </c>
      <c r="F105" s="294" t="s">
        <v>45</v>
      </c>
      <c r="G105" s="294" t="s">
        <v>45</v>
      </c>
      <c r="H105" s="294" t="s">
        <v>45</v>
      </c>
      <c r="I105" s="294" t="s">
        <v>45</v>
      </c>
      <c r="J105" s="294" t="s">
        <v>45</v>
      </c>
      <c r="K105" s="294" t="s">
        <v>45</v>
      </c>
      <c r="L105" s="294" t="s">
        <v>45</v>
      </c>
      <c r="M105" s="294" t="s">
        <v>45</v>
      </c>
      <c r="N105" s="294" t="s">
        <v>45</v>
      </c>
      <c r="O105" s="54">
        <f t="shared" si="1"/>
        <v>0</v>
      </c>
    </row>
    <row r="106" spans="1:15">
      <c r="A106" s="231"/>
      <c r="B106" s="288" t="s">
        <v>29</v>
      </c>
      <c r="C106" s="231">
        <v>125.84030000000001</v>
      </c>
      <c r="D106" s="231">
        <v>130.51409999999998</v>
      </c>
      <c r="E106" s="231">
        <v>103.9119</v>
      </c>
      <c r="F106" s="231">
        <v>98.214500000000001</v>
      </c>
      <c r="G106" s="231">
        <v>66.405799999999999</v>
      </c>
      <c r="H106" s="231">
        <v>49.0306</v>
      </c>
      <c r="I106" s="231">
        <v>17.302199999999999</v>
      </c>
      <c r="J106" s="231">
        <v>12.3</v>
      </c>
      <c r="K106" s="231">
        <v>14.9</v>
      </c>
      <c r="L106" s="231">
        <v>19</v>
      </c>
      <c r="M106" s="231">
        <v>36.299999999999997</v>
      </c>
      <c r="N106" s="231">
        <v>110.79090000000001</v>
      </c>
      <c r="O106" s="53">
        <f t="shared" si="1"/>
        <v>784.51029999999992</v>
      </c>
    </row>
    <row r="107" spans="1:15">
      <c r="A107" s="231"/>
      <c r="B107" s="288" t="s">
        <v>30</v>
      </c>
      <c r="C107" s="231">
        <v>52.501199999999997</v>
      </c>
      <c r="D107" s="231">
        <v>43.248100000000001</v>
      </c>
      <c r="E107" s="231">
        <v>36.61</v>
      </c>
      <c r="F107" s="231">
        <v>26.552299999999999</v>
      </c>
      <c r="G107" s="231">
        <v>20.517700000000001</v>
      </c>
      <c r="H107" s="231">
        <v>18.7073</v>
      </c>
      <c r="I107" s="231">
        <v>21.121200000000002</v>
      </c>
      <c r="J107" s="231">
        <v>18.305</v>
      </c>
      <c r="K107" s="231">
        <v>18.7073</v>
      </c>
      <c r="L107" s="231">
        <v>25.747700000000002</v>
      </c>
      <c r="M107" s="231">
        <v>30.374199999999998</v>
      </c>
      <c r="N107" s="231">
        <v>44.656199999999998</v>
      </c>
      <c r="O107" s="53">
        <f t="shared" si="1"/>
        <v>357.04820000000001</v>
      </c>
    </row>
    <row r="108" spans="1:15">
      <c r="A108" s="231"/>
      <c r="B108" s="288" t="s">
        <v>31</v>
      </c>
      <c r="C108" s="231">
        <v>101.9</v>
      </c>
      <c r="D108" s="231">
        <v>84.3</v>
      </c>
      <c r="E108" s="231">
        <v>84.2</v>
      </c>
      <c r="F108" s="231">
        <v>104.6</v>
      </c>
      <c r="G108" s="231">
        <v>83.6</v>
      </c>
      <c r="H108" s="231">
        <v>83.1</v>
      </c>
      <c r="I108" s="231">
        <v>65.3</v>
      </c>
      <c r="J108" s="231">
        <v>58.5</v>
      </c>
      <c r="K108" s="231">
        <v>74.599999999999994</v>
      </c>
      <c r="L108" s="231">
        <v>68.900000000000006</v>
      </c>
      <c r="M108" s="231">
        <v>81.900000000000006</v>
      </c>
      <c r="N108" s="231">
        <v>190.4984</v>
      </c>
      <c r="O108" s="53">
        <f t="shared" si="1"/>
        <v>1081.3984</v>
      </c>
    </row>
    <row r="109" spans="1:15">
      <c r="A109" s="231"/>
      <c r="B109" s="288" t="s">
        <v>32</v>
      </c>
      <c r="C109" s="231">
        <v>145.5</v>
      </c>
      <c r="D109" s="231">
        <v>161.4</v>
      </c>
      <c r="E109" s="231">
        <v>136.3228</v>
      </c>
      <c r="F109" s="231">
        <v>593.37529999999992</v>
      </c>
      <c r="G109" s="231">
        <v>630.37879999999996</v>
      </c>
      <c r="H109" s="231">
        <v>236.7353</v>
      </c>
      <c r="I109" s="231">
        <v>344.09019999999998</v>
      </c>
      <c r="J109" s="231">
        <v>220.24629999999999</v>
      </c>
      <c r="K109" s="288" t="s">
        <v>45</v>
      </c>
      <c r="L109" s="231">
        <v>687.52109999999993</v>
      </c>
      <c r="M109" s="231">
        <v>429.9597</v>
      </c>
      <c r="N109" s="231">
        <v>525.80029999999999</v>
      </c>
      <c r="O109" s="53">
        <f t="shared" si="1"/>
        <v>4111.3297999999995</v>
      </c>
    </row>
    <row r="110" spans="1:15">
      <c r="A110" s="231"/>
      <c r="B110" s="288" t="s">
        <v>33</v>
      </c>
      <c r="C110" s="288" t="s">
        <v>45</v>
      </c>
      <c r="D110" s="288" t="s">
        <v>45</v>
      </c>
      <c r="E110" s="288" t="s">
        <v>45</v>
      </c>
      <c r="F110" s="288" t="s">
        <v>45</v>
      </c>
      <c r="G110" s="288" t="s">
        <v>45</v>
      </c>
      <c r="H110" s="288" t="s">
        <v>45</v>
      </c>
      <c r="I110" s="288" t="s">
        <v>45</v>
      </c>
      <c r="J110" s="288" t="s">
        <v>45</v>
      </c>
      <c r="K110" s="288" t="s">
        <v>45</v>
      </c>
      <c r="L110" s="288" t="s">
        <v>45</v>
      </c>
      <c r="M110" s="288" t="s">
        <v>45</v>
      </c>
      <c r="N110" s="288" t="s">
        <v>45</v>
      </c>
      <c r="O110" s="53">
        <f t="shared" si="1"/>
        <v>0</v>
      </c>
    </row>
    <row r="111" spans="1:15">
      <c r="A111" s="231"/>
      <c r="B111" s="288" t="s">
        <v>34</v>
      </c>
      <c r="C111" s="231">
        <v>105.1</v>
      </c>
      <c r="D111" s="231">
        <v>152.5</v>
      </c>
      <c r="E111" s="231">
        <v>125.4</v>
      </c>
      <c r="F111" s="231">
        <v>94</v>
      </c>
      <c r="G111" s="231">
        <v>9</v>
      </c>
      <c r="H111" s="231">
        <v>2.8</v>
      </c>
      <c r="I111" s="231">
        <v>0.8</v>
      </c>
      <c r="J111" s="288" t="s">
        <v>45</v>
      </c>
      <c r="K111" s="288" t="s">
        <v>45</v>
      </c>
      <c r="L111" s="231">
        <v>9.8000000000000007</v>
      </c>
      <c r="M111" s="231">
        <v>79.3</v>
      </c>
      <c r="N111" s="231">
        <v>106.7</v>
      </c>
      <c r="O111" s="53">
        <f t="shared" si="1"/>
        <v>685.40000000000009</v>
      </c>
    </row>
    <row r="112" spans="1:15">
      <c r="A112" s="231"/>
      <c r="B112" s="288" t="s">
        <v>35</v>
      </c>
      <c r="C112" s="288" t="s">
        <v>45</v>
      </c>
      <c r="D112" s="288" t="s">
        <v>45</v>
      </c>
      <c r="E112" s="288" t="s">
        <v>45</v>
      </c>
      <c r="F112" s="288" t="s">
        <v>45</v>
      </c>
      <c r="G112" s="288" t="s">
        <v>45</v>
      </c>
      <c r="H112" s="288" t="s">
        <v>45</v>
      </c>
      <c r="I112" s="288" t="s">
        <v>45</v>
      </c>
      <c r="J112" s="288" t="s">
        <v>45</v>
      </c>
      <c r="K112" s="288" t="s">
        <v>45</v>
      </c>
      <c r="L112" s="288" t="s">
        <v>45</v>
      </c>
      <c r="M112" s="288" t="s">
        <v>45</v>
      </c>
      <c r="N112" s="288" t="s">
        <v>45</v>
      </c>
      <c r="O112" s="53">
        <f t="shared" si="1"/>
        <v>0</v>
      </c>
    </row>
    <row r="113" spans="1:15">
      <c r="A113" s="231"/>
      <c r="B113" s="288" t="s">
        <v>36</v>
      </c>
      <c r="C113" s="231">
        <v>151.70359999999999</v>
      </c>
      <c r="D113" s="231">
        <v>131.2021</v>
      </c>
      <c r="E113" s="231">
        <v>127.14749999999999</v>
      </c>
      <c r="F113" s="231">
        <v>94.994699999999995</v>
      </c>
      <c r="G113" s="231">
        <v>63.794699999999999</v>
      </c>
      <c r="H113" s="231">
        <v>44.463999999999999</v>
      </c>
      <c r="I113" s="231">
        <v>38.269399999999997</v>
      </c>
      <c r="J113" s="231">
        <v>10.289899999999999</v>
      </c>
      <c r="K113" s="231">
        <v>73.964200000000005</v>
      </c>
      <c r="L113" s="231">
        <v>71.567300000000003</v>
      </c>
      <c r="M113" s="231">
        <v>100.4064</v>
      </c>
      <c r="N113" s="231">
        <v>149.60570000000001</v>
      </c>
      <c r="O113" s="53">
        <f t="shared" si="1"/>
        <v>1057.4095000000002</v>
      </c>
    </row>
    <row r="114" spans="1:15">
      <c r="A114" s="231"/>
      <c r="B114" s="288" t="s">
        <v>37</v>
      </c>
      <c r="C114" s="288" t="s">
        <v>45</v>
      </c>
      <c r="D114" s="288" t="s">
        <v>45</v>
      </c>
      <c r="E114" s="288" t="s">
        <v>45</v>
      </c>
      <c r="F114" s="288" t="s">
        <v>45</v>
      </c>
      <c r="G114" s="288" t="s">
        <v>45</v>
      </c>
      <c r="H114" s="288" t="s">
        <v>45</v>
      </c>
      <c r="I114" s="288" t="s">
        <v>45</v>
      </c>
      <c r="J114" s="288" t="s">
        <v>45</v>
      </c>
      <c r="K114" s="288" t="s">
        <v>45</v>
      </c>
      <c r="L114" s="288" t="s">
        <v>45</v>
      </c>
      <c r="M114" s="288" t="s">
        <v>45</v>
      </c>
      <c r="N114" s="288" t="s">
        <v>45</v>
      </c>
      <c r="O114" s="53">
        <f t="shared" si="1"/>
        <v>0</v>
      </c>
    </row>
    <row r="115" spans="1:15">
      <c r="A115" s="231"/>
      <c r="B115" s="288" t="s">
        <v>38</v>
      </c>
      <c r="C115" s="231">
        <v>57</v>
      </c>
      <c r="D115" s="231">
        <v>89.5</v>
      </c>
      <c r="E115" s="231">
        <v>68.2</v>
      </c>
      <c r="F115" s="231">
        <v>66.7</v>
      </c>
      <c r="G115" s="231">
        <v>35.299999999999997</v>
      </c>
      <c r="H115" s="231">
        <v>24.9</v>
      </c>
      <c r="I115" s="231">
        <v>10.5</v>
      </c>
      <c r="J115" s="231">
        <v>9.6999999999999993</v>
      </c>
      <c r="K115" s="231">
        <v>12.5</v>
      </c>
      <c r="L115" s="231">
        <v>28.2</v>
      </c>
      <c r="M115" s="231">
        <v>38.200000000000003</v>
      </c>
      <c r="N115" s="231">
        <v>67.5</v>
      </c>
      <c r="O115" s="53">
        <f t="shared" si="1"/>
        <v>508.19999999999993</v>
      </c>
    </row>
    <row r="116" spans="1:15">
      <c r="A116" s="231"/>
      <c r="B116" s="288" t="s">
        <v>39</v>
      </c>
      <c r="C116" s="231">
        <v>89.5</v>
      </c>
      <c r="D116" s="231">
        <v>113.8</v>
      </c>
      <c r="E116" s="231">
        <v>77.599999999999994</v>
      </c>
      <c r="F116" s="231">
        <v>35.9</v>
      </c>
      <c r="G116" s="231">
        <v>15.6</v>
      </c>
      <c r="H116" s="231">
        <v>5.3</v>
      </c>
      <c r="I116" s="231">
        <v>3.2</v>
      </c>
      <c r="J116" s="231">
        <v>4.0999999999999996</v>
      </c>
      <c r="K116" s="231">
        <v>2.4</v>
      </c>
      <c r="L116" s="231">
        <v>24.4</v>
      </c>
      <c r="M116" s="231">
        <v>55.5</v>
      </c>
      <c r="N116" s="231">
        <v>110.5</v>
      </c>
      <c r="O116" s="53">
        <f t="shared" si="1"/>
        <v>537.79999999999995</v>
      </c>
    </row>
    <row r="117" spans="1:15">
      <c r="A117" s="231"/>
      <c r="B117" s="288" t="s">
        <v>40</v>
      </c>
      <c r="C117" s="288" t="s">
        <v>45</v>
      </c>
      <c r="D117" s="288" t="s">
        <v>45</v>
      </c>
      <c r="E117" s="288" t="s">
        <v>45</v>
      </c>
      <c r="F117" s="288" t="s">
        <v>45</v>
      </c>
      <c r="G117" s="288" t="s">
        <v>45</v>
      </c>
      <c r="H117" s="288" t="s">
        <v>45</v>
      </c>
      <c r="I117" s="288" t="s">
        <v>45</v>
      </c>
      <c r="J117" s="288" t="s">
        <v>45</v>
      </c>
      <c r="K117" s="288" t="s">
        <v>45</v>
      </c>
      <c r="L117" s="288" t="s">
        <v>45</v>
      </c>
      <c r="M117" s="288" t="s">
        <v>45</v>
      </c>
      <c r="N117" s="288" t="s">
        <v>45</v>
      </c>
      <c r="O117" s="53">
        <f t="shared" si="1"/>
        <v>0</v>
      </c>
    </row>
    <row r="118" spans="1:15">
      <c r="A118" s="231"/>
      <c r="B118" s="288" t="s">
        <v>41</v>
      </c>
      <c r="C118" s="231">
        <v>1399.6937</v>
      </c>
      <c r="D118" s="231">
        <v>1170.7660000000001</v>
      </c>
      <c r="E118" s="231">
        <v>948.25239999999997</v>
      </c>
      <c r="F118" s="231">
        <v>755.8777</v>
      </c>
      <c r="G118" s="231">
        <v>454.26209999999998</v>
      </c>
      <c r="H118" s="231">
        <v>374.91950000000003</v>
      </c>
      <c r="I118" s="231">
        <v>466.98379999999997</v>
      </c>
      <c r="J118" s="231">
        <v>356.20030000000003</v>
      </c>
      <c r="K118" s="231">
        <v>458.59429999999998</v>
      </c>
      <c r="L118" s="231">
        <v>520.38490000000002</v>
      </c>
      <c r="M118" s="231">
        <v>750.80889999999999</v>
      </c>
      <c r="N118" s="231">
        <v>1457.1005</v>
      </c>
      <c r="O118" s="53">
        <f t="shared" si="1"/>
        <v>9113.8441000000003</v>
      </c>
    </row>
    <row r="119" spans="1:15">
      <c r="A119" s="8"/>
      <c r="B119" s="9" t="s">
        <v>42</v>
      </c>
      <c r="C119" s="8">
        <v>2474.7163</v>
      </c>
      <c r="D119" s="8">
        <v>2281.6804000000002</v>
      </c>
      <c r="E119" s="8">
        <v>1892.5926000000002</v>
      </c>
      <c r="F119" s="8">
        <v>1993.0543</v>
      </c>
      <c r="G119" s="8">
        <v>1450.2065</v>
      </c>
      <c r="H119" s="8">
        <v>873.31209999999987</v>
      </c>
      <c r="I119" s="8">
        <v>1003.0342000000001</v>
      </c>
      <c r="J119" s="8">
        <v>734.50729999999999</v>
      </c>
      <c r="K119" s="8">
        <v>705.86400000000003</v>
      </c>
      <c r="L119" s="8">
        <v>1554.7968000000001</v>
      </c>
      <c r="M119" s="8">
        <v>1757.299</v>
      </c>
      <c r="N119" s="8">
        <v>2982.2722000000003</v>
      </c>
      <c r="O119" s="53">
        <f t="shared" si="1"/>
        <v>19703.3357</v>
      </c>
    </row>
    <row r="120" spans="1:15">
      <c r="A120" s="231"/>
      <c r="B120" s="288"/>
      <c r="C120" s="231"/>
      <c r="D120" s="231"/>
      <c r="E120" s="231"/>
      <c r="F120" s="231"/>
      <c r="G120" s="231"/>
      <c r="H120" s="231"/>
      <c r="I120" s="231"/>
      <c r="J120" s="231"/>
      <c r="K120" s="231"/>
      <c r="L120" s="231"/>
      <c r="M120" s="231"/>
      <c r="N120" s="231"/>
      <c r="O120" s="53"/>
    </row>
    <row r="121" spans="1:15">
      <c r="A121" s="288" t="s">
        <v>49</v>
      </c>
      <c r="B121" s="288" t="s">
        <v>26</v>
      </c>
      <c r="C121" s="231">
        <v>75142.768099999987</v>
      </c>
      <c r="D121" s="231">
        <v>67616.624499999991</v>
      </c>
      <c r="E121" s="231">
        <v>54778.3001</v>
      </c>
      <c r="F121" s="231">
        <v>45135.776299999998</v>
      </c>
      <c r="G121" s="231">
        <v>26400.880399999998</v>
      </c>
      <c r="H121" s="231">
        <v>21228.5726</v>
      </c>
      <c r="I121" s="231">
        <v>19375.332900000001</v>
      </c>
      <c r="J121" s="231">
        <v>13494.767600000001</v>
      </c>
      <c r="K121" s="231">
        <v>17875.236800000002</v>
      </c>
      <c r="L121" s="231">
        <v>24404.925899999998</v>
      </c>
      <c r="M121" s="231">
        <v>40115.9067</v>
      </c>
      <c r="N121" s="231">
        <v>67886.518200000006</v>
      </c>
      <c r="O121" s="53">
        <f t="shared" si="1"/>
        <v>473455.61009999993</v>
      </c>
    </row>
    <row r="122" spans="1:15">
      <c r="A122" s="231"/>
      <c r="B122" s="288" t="s">
        <v>27</v>
      </c>
      <c r="C122" s="231">
        <v>20016.187399999999</v>
      </c>
      <c r="D122" s="231">
        <v>16069.9537</v>
      </c>
      <c r="E122" s="231">
        <v>15157.084699999999</v>
      </c>
      <c r="F122" s="231">
        <v>10881.818300000001</v>
      </c>
      <c r="G122" s="231">
        <v>5850.8337000000001</v>
      </c>
      <c r="H122" s="231">
        <v>3145.2541999999999</v>
      </c>
      <c r="I122" s="231">
        <v>4738.3391000000001</v>
      </c>
      <c r="J122" s="231">
        <v>9009.2292000000016</v>
      </c>
      <c r="K122" s="231">
        <v>8639.3484000000008</v>
      </c>
      <c r="L122" s="231">
        <v>8561.5706000000009</v>
      </c>
      <c r="M122" s="231">
        <v>13146.7588</v>
      </c>
      <c r="N122" s="231">
        <v>17119.2592</v>
      </c>
      <c r="O122" s="53">
        <f t="shared" si="1"/>
        <v>132335.6373</v>
      </c>
    </row>
    <row r="123" spans="1:15">
      <c r="A123" s="231"/>
      <c r="B123" s="294" t="s">
        <v>28</v>
      </c>
      <c r="C123" s="293">
        <v>142970.4086</v>
      </c>
      <c r="D123" s="293">
        <v>124208.82900000001</v>
      </c>
      <c r="E123" s="293">
        <v>105484.4276</v>
      </c>
      <c r="F123" s="293">
        <v>101680.7577</v>
      </c>
      <c r="G123" s="293">
        <v>73546.999499999991</v>
      </c>
      <c r="H123" s="293">
        <v>46524.034</v>
      </c>
      <c r="I123" s="293">
        <v>43651.165899999993</v>
      </c>
      <c r="J123" s="293">
        <v>42612.346600000004</v>
      </c>
      <c r="K123" s="293">
        <v>61736.720300000001</v>
      </c>
      <c r="L123" s="293">
        <v>61973.703499999996</v>
      </c>
      <c r="M123" s="293">
        <v>102576.0154</v>
      </c>
      <c r="N123" s="293">
        <v>170550.55449999997</v>
      </c>
      <c r="O123" s="54">
        <f t="shared" si="1"/>
        <v>1077515.9626000002</v>
      </c>
    </row>
    <row r="124" spans="1:15">
      <c r="A124" s="231"/>
      <c r="B124" s="288" t="s">
        <v>29</v>
      </c>
      <c r="C124" s="231">
        <v>152697.27010000002</v>
      </c>
      <c r="D124" s="231">
        <v>136546.63430000001</v>
      </c>
      <c r="E124" s="231">
        <v>114793.66110000001</v>
      </c>
      <c r="F124" s="231">
        <v>91986.965100000016</v>
      </c>
      <c r="G124" s="231">
        <v>66030.440799999997</v>
      </c>
      <c r="H124" s="231">
        <v>51069.426299999999</v>
      </c>
      <c r="I124" s="231">
        <v>54255.9539</v>
      </c>
      <c r="J124" s="231">
        <v>42493.446300000003</v>
      </c>
      <c r="K124" s="231">
        <v>50756.789700000001</v>
      </c>
      <c r="L124" s="231">
        <v>61851.242600000005</v>
      </c>
      <c r="M124" s="231">
        <v>94197.626199999999</v>
      </c>
      <c r="N124" s="231">
        <v>137650.72410000002</v>
      </c>
      <c r="O124" s="53">
        <f t="shared" si="1"/>
        <v>1054330.1805</v>
      </c>
    </row>
    <row r="125" spans="1:15">
      <c r="A125" s="231"/>
      <c r="B125" s="288" t="s">
        <v>30</v>
      </c>
      <c r="C125" s="231">
        <v>11563.736900000002</v>
      </c>
      <c r="D125" s="231">
        <v>13041.956900000001</v>
      </c>
      <c r="E125" s="231">
        <v>10681.7605</v>
      </c>
      <c r="F125" s="231">
        <v>8190.7992000000004</v>
      </c>
      <c r="G125" s="231">
        <v>4763.7323000000006</v>
      </c>
      <c r="H125" s="231">
        <v>3680.7483000000002</v>
      </c>
      <c r="I125" s="231">
        <v>2965.5460000000003</v>
      </c>
      <c r="J125" s="231">
        <v>2530.1242999999995</v>
      </c>
      <c r="K125" s="231">
        <v>2321.1044000000002</v>
      </c>
      <c r="L125" s="231">
        <v>3171.4375999999997</v>
      </c>
      <c r="M125" s="231">
        <v>7122.1511999999993</v>
      </c>
      <c r="N125" s="231">
        <v>11207.344799999999</v>
      </c>
      <c r="O125" s="53">
        <f t="shared" si="1"/>
        <v>81240.4424</v>
      </c>
    </row>
    <row r="126" spans="1:15">
      <c r="A126" s="231"/>
      <c r="B126" s="288" t="s">
        <v>31</v>
      </c>
      <c r="C126" s="231">
        <v>116097.99399999999</v>
      </c>
      <c r="D126" s="231">
        <v>115704.59570000001</v>
      </c>
      <c r="E126" s="231">
        <v>105048.5906</v>
      </c>
      <c r="F126" s="231">
        <v>101146.26180000002</v>
      </c>
      <c r="G126" s="231">
        <v>64881.841399999998</v>
      </c>
      <c r="H126" s="231">
        <v>65429.979899999998</v>
      </c>
      <c r="I126" s="231">
        <v>58680.688800000004</v>
      </c>
      <c r="J126" s="231">
        <v>59962.859700000001</v>
      </c>
      <c r="K126" s="231">
        <v>61272.071899999995</v>
      </c>
      <c r="L126" s="231">
        <v>62061.323200000006</v>
      </c>
      <c r="M126" s="231">
        <v>75306.098899999997</v>
      </c>
      <c r="N126" s="231">
        <v>102615.76079999999</v>
      </c>
      <c r="O126" s="53">
        <f t="shared" si="1"/>
        <v>988208.06670000008</v>
      </c>
    </row>
    <row r="127" spans="1:15">
      <c r="A127" s="231"/>
      <c r="B127" s="288" t="s">
        <v>32</v>
      </c>
      <c r="C127" s="231">
        <v>107778.7185</v>
      </c>
      <c r="D127" s="231">
        <v>59451.569600000003</v>
      </c>
      <c r="E127" s="231">
        <v>64467.179899999996</v>
      </c>
      <c r="F127" s="231">
        <v>58400.144699999997</v>
      </c>
      <c r="G127" s="231">
        <v>35511.283799999997</v>
      </c>
      <c r="H127" s="231">
        <v>20406.026599999997</v>
      </c>
      <c r="I127" s="231">
        <v>14587.9491</v>
      </c>
      <c r="J127" s="231">
        <v>14558.172699999999</v>
      </c>
      <c r="K127" s="231">
        <v>25313.2261</v>
      </c>
      <c r="L127" s="231">
        <v>52962.599900000001</v>
      </c>
      <c r="M127" s="231">
        <v>65916.644199999995</v>
      </c>
      <c r="N127" s="231">
        <v>81141.334399999992</v>
      </c>
      <c r="O127" s="53">
        <f t="shared" si="1"/>
        <v>600494.84950000001</v>
      </c>
    </row>
    <row r="128" spans="1:15">
      <c r="A128" s="231"/>
      <c r="B128" s="288" t="s">
        <v>33</v>
      </c>
      <c r="C128" s="231">
        <v>2364.7743</v>
      </c>
      <c r="D128" s="231">
        <v>2541.5977000000003</v>
      </c>
      <c r="E128" s="231">
        <v>2016.9825999999998</v>
      </c>
      <c r="F128" s="231">
        <v>1498.9076</v>
      </c>
      <c r="G128" s="231">
        <v>879.25919999999996</v>
      </c>
      <c r="H128" s="231">
        <v>532.18430000000001</v>
      </c>
      <c r="I128" s="231">
        <v>372.07749999999999</v>
      </c>
      <c r="J128" s="231">
        <v>425.35300000000001</v>
      </c>
      <c r="K128" s="231">
        <v>649.6395</v>
      </c>
      <c r="L128" s="231">
        <v>1272.693</v>
      </c>
      <c r="M128" s="231">
        <v>2053.8586</v>
      </c>
      <c r="N128" s="231">
        <v>2578.7217000000001</v>
      </c>
      <c r="O128" s="53">
        <f t="shared" si="1"/>
        <v>17186.048999999999</v>
      </c>
    </row>
    <row r="129" spans="1:15">
      <c r="A129" s="231"/>
      <c r="B129" s="288" t="s">
        <v>34</v>
      </c>
      <c r="C129" s="231">
        <v>13440.206200000001</v>
      </c>
      <c r="D129" s="231">
        <v>12981.570299999999</v>
      </c>
      <c r="E129" s="231">
        <v>9932.0727999999999</v>
      </c>
      <c r="F129" s="231">
        <v>5790.7753000000002</v>
      </c>
      <c r="G129" s="231">
        <v>3499.3265999999999</v>
      </c>
      <c r="H129" s="231">
        <v>2413.9562999999998</v>
      </c>
      <c r="I129" s="231">
        <v>1681.4982999999997</v>
      </c>
      <c r="J129" s="231">
        <v>1721.2598999999998</v>
      </c>
      <c r="K129" s="231">
        <v>1745.0843</v>
      </c>
      <c r="L129" s="231">
        <v>3463.9719999999998</v>
      </c>
      <c r="M129" s="231">
        <v>9172.6679000000004</v>
      </c>
      <c r="N129" s="231">
        <v>12774.321300000001</v>
      </c>
      <c r="O129" s="53">
        <f t="shared" si="1"/>
        <v>78616.711200000005</v>
      </c>
    </row>
    <row r="130" spans="1:15">
      <c r="A130" s="231"/>
      <c r="B130" s="288" t="s">
        <v>35</v>
      </c>
      <c r="C130" s="231">
        <v>6443.5602999999992</v>
      </c>
      <c r="D130" s="231">
        <v>5274.3694999999998</v>
      </c>
      <c r="E130" s="231">
        <v>4192.8708999999999</v>
      </c>
      <c r="F130" s="231">
        <v>1711.1189999999999</v>
      </c>
      <c r="G130" s="231">
        <v>988.14080000000001</v>
      </c>
      <c r="H130" s="231">
        <v>453.63740000000007</v>
      </c>
      <c r="I130" s="231">
        <v>490.49199999999996</v>
      </c>
      <c r="J130" s="231">
        <v>433.2672</v>
      </c>
      <c r="K130" s="231">
        <v>443.0489</v>
      </c>
      <c r="L130" s="231">
        <v>1299.0541000000001</v>
      </c>
      <c r="M130" s="231">
        <v>3543.9657999999995</v>
      </c>
      <c r="N130" s="231">
        <v>4891.1181000000006</v>
      </c>
      <c r="O130" s="53">
        <f t="shared" si="1"/>
        <v>30164.643999999997</v>
      </c>
    </row>
    <row r="131" spans="1:15">
      <c r="A131" s="231"/>
      <c r="B131" s="288" t="s">
        <v>36</v>
      </c>
      <c r="C131" s="231">
        <v>80821.238999999987</v>
      </c>
      <c r="D131" s="231">
        <v>80962.161800000002</v>
      </c>
      <c r="E131" s="231">
        <v>73938.503899999996</v>
      </c>
      <c r="F131" s="231">
        <v>58609.876100000001</v>
      </c>
      <c r="G131" s="231">
        <v>45812.4709</v>
      </c>
      <c r="H131" s="231">
        <v>30845.136399999999</v>
      </c>
      <c r="I131" s="231">
        <v>31599.545899999997</v>
      </c>
      <c r="J131" s="231">
        <v>28539.920099999999</v>
      </c>
      <c r="K131" s="231">
        <v>29622.576100000002</v>
      </c>
      <c r="L131" s="231">
        <v>35909.104500000001</v>
      </c>
      <c r="M131" s="231">
        <v>51303.535900000003</v>
      </c>
      <c r="N131" s="231">
        <v>73869.367500000008</v>
      </c>
      <c r="O131" s="53">
        <f t="shared" si="1"/>
        <v>621833.43810000003</v>
      </c>
    </row>
    <row r="132" spans="1:15">
      <c r="A132" s="231"/>
      <c r="B132" s="288" t="s">
        <v>37</v>
      </c>
      <c r="C132" s="231">
        <v>3222.8561</v>
      </c>
      <c r="D132" s="231">
        <v>3457.6513999999997</v>
      </c>
      <c r="E132" s="231">
        <v>2701.0645</v>
      </c>
      <c r="F132" s="231">
        <v>1498.1473000000001</v>
      </c>
      <c r="G132" s="231">
        <v>913.71139999999991</v>
      </c>
      <c r="H132" s="231">
        <v>595.02759999999989</v>
      </c>
      <c r="I132" s="231">
        <v>541.78380000000004</v>
      </c>
      <c r="J132" s="231">
        <v>433.44790000000006</v>
      </c>
      <c r="K132" s="231">
        <v>532.14790000000005</v>
      </c>
      <c r="L132" s="231">
        <v>1012.2198</v>
      </c>
      <c r="M132" s="231">
        <v>2174.2203</v>
      </c>
      <c r="N132" s="231">
        <v>3010.0895</v>
      </c>
      <c r="O132" s="53">
        <f t="shared" si="1"/>
        <v>20092.3675</v>
      </c>
    </row>
    <row r="133" spans="1:15">
      <c r="A133" s="231"/>
      <c r="B133" s="288" t="s">
        <v>38</v>
      </c>
      <c r="C133" s="231">
        <v>122863.3487</v>
      </c>
      <c r="D133" s="231">
        <v>94782.763500000001</v>
      </c>
      <c r="E133" s="231">
        <v>89876.525699999998</v>
      </c>
      <c r="F133" s="231">
        <v>72346.775699999998</v>
      </c>
      <c r="G133" s="231">
        <v>52607.413200000003</v>
      </c>
      <c r="H133" s="231">
        <v>42486.226300000002</v>
      </c>
      <c r="I133" s="231">
        <v>38901.8056</v>
      </c>
      <c r="J133" s="231">
        <v>43594.4467</v>
      </c>
      <c r="K133" s="231">
        <v>42342.957000000002</v>
      </c>
      <c r="L133" s="231">
        <v>51152.119699999996</v>
      </c>
      <c r="M133" s="231">
        <v>58300.024899999997</v>
      </c>
      <c r="N133" s="231">
        <v>74194.228199999998</v>
      </c>
      <c r="O133" s="53">
        <f t="shared" si="1"/>
        <v>783448.63520000002</v>
      </c>
    </row>
    <row r="134" spans="1:15">
      <c r="A134" s="231"/>
      <c r="B134" s="288" t="s">
        <v>39</v>
      </c>
      <c r="C134" s="231">
        <v>106199.72110000001</v>
      </c>
      <c r="D134" s="231">
        <v>94645.158100000001</v>
      </c>
      <c r="E134" s="231">
        <v>83733.851999999999</v>
      </c>
      <c r="F134" s="231">
        <v>64617.803899999999</v>
      </c>
      <c r="G134" s="231">
        <v>45226.325699999994</v>
      </c>
      <c r="H134" s="231">
        <v>30976.766099999997</v>
      </c>
      <c r="I134" s="231">
        <v>27280.926599999999</v>
      </c>
      <c r="J134" s="231">
        <v>49445.874699999993</v>
      </c>
      <c r="K134" s="231">
        <v>31194.759699999999</v>
      </c>
      <c r="L134" s="231">
        <v>39576.573799999998</v>
      </c>
      <c r="M134" s="231">
        <v>57243.578999999998</v>
      </c>
      <c r="N134" s="231">
        <v>58776.750499999995</v>
      </c>
      <c r="O134" s="53">
        <f t="shared" si="1"/>
        <v>688918.09120000002</v>
      </c>
    </row>
    <row r="135" spans="1:15">
      <c r="A135" s="231"/>
      <c r="B135" s="288" t="s">
        <v>40</v>
      </c>
      <c r="C135" s="231">
        <v>11967.0818</v>
      </c>
      <c r="D135" s="231">
        <v>10449.9992</v>
      </c>
      <c r="E135" s="231">
        <v>9572.9223000000002</v>
      </c>
      <c r="F135" s="231">
        <v>6402.3316999999997</v>
      </c>
      <c r="G135" s="231">
        <v>3051.2489</v>
      </c>
      <c r="H135" s="231">
        <v>2134.6034</v>
      </c>
      <c r="I135" s="231">
        <v>1732.9269999999999</v>
      </c>
      <c r="J135" s="231">
        <v>1733.1967</v>
      </c>
      <c r="K135" s="231">
        <v>1827.1386</v>
      </c>
      <c r="L135" s="231">
        <v>3851.0529999999999</v>
      </c>
      <c r="M135" s="231">
        <v>4926.4347999999991</v>
      </c>
      <c r="N135" s="231">
        <v>13140.171399999999</v>
      </c>
      <c r="O135" s="53">
        <f t="shared" si="1"/>
        <v>70789.108799999987</v>
      </c>
    </row>
    <row r="136" spans="1:15">
      <c r="A136" s="231"/>
      <c r="B136" s="288" t="s">
        <v>41</v>
      </c>
      <c r="C136" s="231">
        <v>96854.338799999998</v>
      </c>
      <c r="D136" s="231">
        <v>95326.847699999998</v>
      </c>
      <c r="E136" s="231">
        <v>99800.554900000003</v>
      </c>
      <c r="F136" s="231">
        <v>72586.025099999984</v>
      </c>
      <c r="G136" s="231">
        <v>58291.673999999999</v>
      </c>
      <c r="H136" s="231">
        <v>45489.866500000004</v>
      </c>
      <c r="I136" s="231">
        <v>45582.9444</v>
      </c>
      <c r="J136" s="231">
        <v>1022305.5831</v>
      </c>
      <c r="K136" s="231">
        <v>-944548.58860000002</v>
      </c>
      <c r="L136" s="231">
        <v>54214.496299999999</v>
      </c>
      <c r="M136" s="231">
        <v>68482.448900000003</v>
      </c>
      <c r="N136" s="231">
        <v>84169.442899999995</v>
      </c>
      <c r="O136" s="53">
        <f t="shared" si="1"/>
        <v>798555.63399999985</v>
      </c>
    </row>
    <row r="137" spans="1:15">
      <c r="A137" s="8"/>
      <c r="B137" s="9" t="s">
        <v>42</v>
      </c>
      <c r="C137" s="8">
        <v>1070444.2099000001</v>
      </c>
      <c r="D137" s="8">
        <v>933062.28289999987</v>
      </c>
      <c r="E137" s="8">
        <v>846176.35409999988</v>
      </c>
      <c r="F137" s="8">
        <v>702484.28480000002</v>
      </c>
      <c r="G137" s="8">
        <v>488255.58260000002</v>
      </c>
      <c r="H137" s="8">
        <v>367411.44619999995</v>
      </c>
      <c r="I137" s="8">
        <v>346438.9768</v>
      </c>
      <c r="J137" s="8">
        <v>1333293.2956999999</v>
      </c>
      <c r="K137" s="8">
        <v>-608276.73900000006</v>
      </c>
      <c r="L137" s="8">
        <v>466738.0895</v>
      </c>
      <c r="M137" s="8">
        <v>655581.93750000012</v>
      </c>
      <c r="N137" s="8">
        <v>915575.70710000012</v>
      </c>
      <c r="O137" s="53">
        <f t="shared" si="1"/>
        <v>7517185.4281000001</v>
      </c>
    </row>
  </sheetData>
  <mergeCells count="1">
    <mergeCell ref="C10:N10"/>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B1:O56"/>
  <sheetViews>
    <sheetView topLeftCell="B13" workbookViewId="0">
      <selection activeCell="E24" sqref="E24:F24"/>
    </sheetView>
  </sheetViews>
  <sheetFormatPr defaultRowHeight="15"/>
  <cols>
    <col min="1" max="1" width="116.5703125" customWidth="1"/>
    <col min="2" max="2" width="22.28515625" customWidth="1"/>
    <col min="3" max="3" width="26.140625" bestFit="1" customWidth="1"/>
    <col min="4" max="4" width="17.28515625" bestFit="1" customWidth="1"/>
    <col min="5" max="11" width="14.140625" bestFit="1" customWidth="1"/>
    <col min="13" max="14" width="10.5703125" bestFit="1" customWidth="1"/>
  </cols>
  <sheetData>
    <row r="1" spans="2:11">
      <c r="B1" s="312" t="s">
        <v>970</v>
      </c>
      <c r="C1" s="33"/>
      <c r="D1" s="33"/>
      <c r="E1" s="33"/>
      <c r="F1" s="33"/>
      <c r="G1" s="33"/>
      <c r="H1" s="33"/>
      <c r="I1" s="33"/>
    </row>
    <row r="2" spans="2:11">
      <c r="B2" s="312"/>
      <c r="C2" s="33"/>
      <c r="D2" s="33"/>
      <c r="E2" s="33"/>
      <c r="F2" s="33"/>
      <c r="G2" s="33"/>
      <c r="H2" s="33"/>
      <c r="I2" s="33"/>
    </row>
    <row r="3" spans="2:11">
      <c r="B3" s="544" t="s">
        <v>971</v>
      </c>
      <c r="C3" s="33"/>
      <c r="D3" s="33"/>
      <c r="E3" s="33"/>
      <c r="F3" s="33"/>
      <c r="G3" s="33"/>
      <c r="H3" s="33"/>
      <c r="I3" s="33"/>
    </row>
    <row r="4" spans="2:11">
      <c r="B4" s="312"/>
      <c r="C4" s="33"/>
      <c r="D4" s="33"/>
    </row>
    <row r="5" spans="2:11">
      <c r="B5" s="520" t="s">
        <v>58</v>
      </c>
      <c r="C5" s="521" t="s">
        <v>1</v>
      </c>
      <c r="D5" s="522" t="s">
        <v>54</v>
      </c>
      <c r="E5" s="56">
        <v>2006</v>
      </c>
      <c r="F5" s="57">
        <v>2007</v>
      </c>
      <c r="G5" s="57">
        <v>2008</v>
      </c>
      <c r="H5" s="525">
        <v>2009</v>
      </c>
      <c r="I5" s="525">
        <v>2010</v>
      </c>
      <c r="J5" s="525">
        <v>2011</v>
      </c>
      <c r="K5" s="526">
        <v>2012</v>
      </c>
    </row>
    <row r="6" spans="2:11">
      <c r="B6" s="252" t="s">
        <v>59</v>
      </c>
      <c r="C6" s="256" t="s">
        <v>773</v>
      </c>
      <c r="D6" s="307" t="s">
        <v>55</v>
      </c>
      <c r="E6" s="240">
        <f>'2006 Inventory'!$E6</f>
        <v>291510.79267562588</v>
      </c>
      <c r="F6" s="530">
        <f>'2007 Inventory'!$E6</f>
        <v>305019.33739481261</v>
      </c>
      <c r="G6" s="530">
        <f>'2008 Inventory'!$E6</f>
        <v>323768.06986065704</v>
      </c>
      <c r="H6" s="530">
        <f>'2009 Inventory'!$E6</f>
        <v>320950.59884125279</v>
      </c>
      <c r="I6" s="530">
        <f>'2010 Inventory'!$E6</f>
        <v>337617.42851984757</v>
      </c>
      <c r="J6" s="530">
        <f>'2011 Inventory'!$E6</f>
        <v>296233.6702662874</v>
      </c>
      <c r="K6" s="531">
        <f>'2012 Inventory'!$E6</f>
        <v>270832.60168810259</v>
      </c>
    </row>
    <row r="7" spans="2:11">
      <c r="B7" s="252" t="s">
        <v>59</v>
      </c>
      <c r="C7" s="256" t="s">
        <v>773</v>
      </c>
      <c r="D7" s="307" t="s">
        <v>56</v>
      </c>
      <c r="E7" s="64">
        <f>'2006 Inventory'!$E7</f>
        <v>188983.34339357406</v>
      </c>
      <c r="F7" s="519">
        <f>'2007 Inventory'!$E7</f>
        <v>194604.89478226358</v>
      </c>
      <c r="G7" s="519">
        <f>'2008 Inventory'!$E7</f>
        <v>208632.55075494442</v>
      </c>
      <c r="H7" s="519">
        <f>'2009 Inventory'!$E7</f>
        <v>209444.11974150999</v>
      </c>
      <c r="I7" s="519">
        <f>'2010 Inventory'!$E7</f>
        <v>218740.24247476639</v>
      </c>
      <c r="J7" s="519">
        <f>'2011 Inventory'!$E7</f>
        <v>197802.03584386822</v>
      </c>
      <c r="K7" s="532">
        <f>'2012 Inventory'!$E7</f>
        <v>180841.15805823979</v>
      </c>
    </row>
    <row r="8" spans="2:11">
      <c r="B8" s="252" t="s">
        <v>59</v>
      </c>
      <c r="C8" s="256" t="s">
        <v>773</v>
      </c>
      <c r="D8" s="307" t="s">
        <v>57</v>
      </c>
      <c r="E8" s="64">
        <f>'2006 Inventory'!$E8</f>
        <v>244048.12839120004</v>
      </c>
      <c r="F8" s="519">
        <f>'2007 Inventory'!$E8</f>
        <v>275281.50045948848</v>
      </c>
      <c r="G8" s="519">
        <f>'2008 Inventory'!$E8</f>
        <v>260040.25195398126</v>
      </c>
      <c r="H8" s="519">
        <f>'2009 Inventory'!$E8</f>
        <v>213547.52473922182</v>
      </c>
      <c r="I8" s="519">
        <f>'2010 Inventory'!$E8</f>
        <v>274763.77820512175</v>
      </c>
      <c r="J8" s="519">
        <f>'2011 Inventory'!$E8</f>
        <v>288234.01352544746</v>
      </c>
      <c r="K8" s="532">
        <f>'2012 Inventory'!$E8</f>
        <v>320393.79552023334</v>
      </c>
    </row>
    <row r="9" spans="2:11">
      <c r="B9" s="253" t="s">
        <v>59</v>
      </c>
      <c r="C9" s="258" t="s">
        <v>773</v>
      </c>
      <c r="D9" s="500" t="s">
        <v>2267</v>
      </c>
      <c r="E9" s="64">
        <f>'2006 Inventory'!$E9</f>
        <v>33633.590000000004</v>
      </c>
      <c r="F9" s="519">
        <f>'2007 Inventory'!$E9</f>
        <v>38121.233334600001</v>
      </c>
      <c r="G9" s="519">
        <f>'2008 Inventory'!$E9</f>
        <v>50993.538672699993</v>
      </c>
      <c r="H9" s="519">
        <f>'2009 Inventory'!$E9</f>
        <v>46469.562052499998</v>
      </c>
      <c r="I9" s="519">
        <f>'2010 Inventory'!$E9</f>
        <v>48079.472865600001</v>
      </c>
      <c r="J9" s="519">
        <f>'2011 Inventory'!$E9</f>
        <v>50448.099239999996</v>
      </c>
      <c r="K9" s="532">
        <f>'2012 Inventory'!$E9</f>
        <v>42084.583200000001</v>
      </c>
    </row>
    <row r="10" spans="2:11">
      <c r="B10" s="307"/>
      <c r="C10" s="307"/>
      <c r="D10" s="521" t="s">
        <v>863</v>
      </c>
      <c r="E10" s="535">
        <f>'2006 Inventory'!$E10</f>
        <v>758175.85446039995</v>
      </c>
      <c r="F10" s="536">
        <f>'2007 Inventory'!$E10</f>
        <v>813026.96597116464</v>
      </c>
      <c r="G10" s="536">
        <f>'2008 Inventory'!$E10</f>
        <v>843434.4112422826</v>
      </c>
      <c r="H10" s="536">
        <f>'2009 Inventory'!$E10</f>
        <v>790411.80537448451</v>
      </c>
      <c r="I10" s="536">
        <f>'2010 Inventory'!$E10</f>
        <v>879200.92206533579</v>
      </c>
      <c r="J10" s="536">
        <f>'2011 Inventory'!$E10</f>
        <v>832717.81887560303</v>
      </c>
      <c r="K10" s="537">
        <f>'2012 Inventory'!$E10</f>
        <v>814152.13846657565</v>
      </c>
    </row>
    <row r="11" spans="2:11">
      <c r="B11" s="307"/>
      <c r="C11" s="307"/>
      <c r="D11" s="307"/>
      <c r="E11" s="519"/>
      <c r="F11" s="519"/>
      <c r="G11" s="519"/>
      <c r="H11" s="519"/>
      <c r="I11" s="519"/>
      <c r="J11" s="519"/>
      <c r="K11" s="519"/>
    </row>
    <row r="12" spans="2:11">
      <c r="B12" s="55"/>
      <c r="C12" s="55"/>
      <c r="D12" s="55"/>
      <c r="E12" s="519"/>
      <c r="F12" s="519"/>
      <c r="G12" s="519"/>
      <c r="H12" s="519"/>
      <c r="I12" s="519"/>
      <c r="J12" s="519"/>
      <c r="K12" s="519"/>
    </row>
    <row r="13" spans="2:11">
      <c r="B13" s="520" t="s">
        <v>58</v>
      </c>
      <c r="C13" s="521" t="s">
        <v>1</v>
      </c>
      <c r="D13" s="522" t="s">
        <v>54</v>
      </c>
      <c r="E13" s="553">
        <v>2006</v>
      </c>
      <c r="F13" s="554">
        <v>2007</v>
      </c>
      <c r="G13" s="554">
        <v>2008</v>
      </c>
      <c r="H13" s="554">
        <v>2009</v>
      </c>
      <c r="I13" s="554">
        <v>2010</v>
      </c>
      <c r="J13" s="554">
        <v>2011</v>
      </c>
      <c r="K13" s="555">
        <v>2012</v>
      </c>
    </row>
    <row r="14" spans="2:11">
      <c r="B14" s="252" t="s">
        <v>60</v>
      </c>
      <c r="C14" s="256" t="s">
        <v>686</v>
      </c>
      <c r="D14" s="307" t="s">
        <v>55</v>
      </c>
      <c r="E14" s="240">
        <f>'2006 Inventory'!$E14</f>
        <v>1037.4000000000001</v>
      </c>
      <c r="F14" s="530">
        <f>'2007 Inventory'!$E14</f>
        <v>1037.4000000000001</v>
      </c>
      <c r="G14" s="530">
        <f>'2008 Inventory'!$E14</f>
        <v>1037.4000000000001</v>
      </c>
      <c r="H14" s="530">
        <f>'2009 Inventory'!$E14</f>
        <v>1037.4000000000001</v>
      </c>
      <c r="I14" s="530">
        <f>'2010 Inventory'!$E14</f>
        <v>1675.8000000000002</v>
      </c>
      <c r="J14" s="530">
        <f>'2011 Inventory'!$E14</f>
        <v>1463</v>
      </c>
      <c r="K14" s="531">
        <f>'2012 Inventory'!$E14</f>
        <v>1463</v>
      </c>
    </row>
    <row r="15" spans="2:11">
      <c r="B15" s="252" t="s">
        <v>60</v>
      </c>
      <c r="C15" s="256" t="s">
        <v>685</v>
      </c>
      <c r="D15" s="307" t="s">
        <v>55</v>
      </c>
      <c r="E15" s="64">
        <f>'2006 Inventory'!$E15</f>
        <v>30422</v>
      </c>
      <c r="F15" s="519">
        <f>'2007 Inventory'!$E15</f>
        <v>30422</v>
      </c>
      <c r="G15" s="519">
        <f>'2008 Inventory'!$E15</f>
        <v>30422</v>
      </c>
      <c r="H15" s="519">
        <f>'2009 Inventory'!$E15</f>
        <v>30422</v>
      </c>
      <c r="I15" s="519">
        <f>'2010 Inventory'!$E15</f>
        <v>36994</v>
      </c>
      <c r="J15" s="519">
        <f>'2011 Inventory'!$E15</f>
        <v>34503</v>
      </c>
      <c r="K15" s="532">
        <f>'2012 Inventory'!$E15</f>
        <v>34503</v>
      </c>
    </row>
    <row r="16" spans="2:11">
      <c r="B16" s="253" t="s">
        <v>60</v>
      </c>
      <c r="C16" s="258" t="s">
        <v>590</v>
      </c>
      <c r="D16" s="500" t="s">
        <v>55</v>
      </c>
      <c r="E16" s="65">
        <f>'2006 Inventory'!$E16</f>
        <v>2086</v>
      </c>
      <c r="F16" s="533">
        <f>'2007 Inventory'!$E16</f>
        <v>2086</v>
      </c>
      <c r="G16" s="533">
        <f>'2008 Inventory'!$E16</f>
        <v>2086</v>
      </c>
      <c r="H16" s="533">
        <f>'2009 Inventory'!$E16</f>
        <v>2086</v>
      </c>
      <c r="I16" s="533">
        <f>'2010 Inventory'!$E16</f>
        <v>1788</v>
      </c>
      <c r="J16" s="533">
        <f>'2011 Inventory'!$E16</f>
        <v>1788</v>
      </c>
      <c r="K16" s="534">
        <f>'2012 Inventory'!$E16</f>
        <v>1788</v>
      </c>
    </row>
    <row r="17" spans="2:14">
      <c r="B17" s="55"/>
      <c r="C17" s="307"/>
      <c r="D17" s="521" t="s">
        <v>863</v>
      </c>
      <c r="E17" s="65">
        <f>'2006 Inventory'!$E17</f>
        <v>33545.4</v>
      </c>
      <c r="F17" s="533">
        <f>'2007 Inventory'!$E17</f>
        <v>33545.4</v>
      </c>
      <c r="G17" s="533">
        <f>'2008 Inventory'!$E17</f>
        <v>33545.4</v>
      </c>
      <c r="H17" s="533">
        <f>'2009 Inventory'!$E17</f>
        <v>33545.4</v>
      </c>
      <c r="I17" s="533">
        <f>'2010 Inventory'!$E17</f>
        <v>40457.800000000003</v>
      </c>
      <c r="J17" s="533">
        <f>'2011 Inventory'!$E17</f>
        <v>37754</v>
      </c>
      <c r="K17" s="534">
        <f>'2012 Inventory'!$E17</f>
        <v>37754</v>
      </c>
    </row>
    <row r="18" spans="2:14">
      <c r="B18" s="523" t="s">
        <v>972</v>
      </c>
      <c r="C18" s="524"/>
      <c r="D18" s="55"/>
      <c r="E18" s="519"/>
      <c r="F18" s="519"/>
      <c r="G18" s="519"/>
      <c r="H18" s="519"/>
      <c r="I18" s="519"/>
      <c r="J18" s="519"/>
      <c r="K18" s="519"/>
    </row>
    <row r="19" spans="2:14">
      <c r="B19" s="524"/>
      <c r="C19" s="523"/>
      <c r="D19" s="524"/>
      <c r="E19" s="519"/>
      <c r="F19" s="519"/>
      <c r="G19" s="519"/>
      <c r="H19" s="519"/>
      <c r="I19" s="519"/>
      <c r="J19" s="519"/>
      <c r="K19" s="519"/>
    </row>
    <row r="20" spans="2:14">
      <c r="B20" s="520" t="s">
        <v>58</v>
      </c>
      <c r="C20" s="521" t="s">
        <v>697</v>
      </c>
      <c r="D20" s="522" t="s">
        <v>54</v>
      </c>
      <c r="E20" s="553">
        <v>2006</v>
      </c>
      <c r="F20" s="554">
        <v>2007</v>
      </c>
      <c r="G20" s="554">
        <v>2008</v>
      </c>
      <c r="H20" s="554">
        <v>2009</v>
      </c>
      <c r="I20" s="554">
        <v>2010</v>
      </c>
      <c r="J20" s="554">
        <v>2011</v>
      </c>
      <c r="K20" s="555">
        <v>2012</v>
      </c>
    </row>
    <row r="21" spans="2:14">
      <c r="B21" s="252" t="s">
        <v>699</v>
      </c>
      <c r="C21" s="256" t="s">
        <v>698</v>
      </c>
      <c r="D21" s="307" t="s">
        <v>55</v>
      </c>
      <c r="E21" s="240">
        <f>'2006 Inventory'!$E21</f>
        <v>266289.48794879997</v>
      </c>
      <c r="F21" s="530">
        <f>'2007 Inventory'!$E21</f>
        <v>312511.55315311998</v>
      </c>
      <c r="G21" s="530">
        <f>'2008 Inventory'!$E21</f>
        <v>351367.74184075999</v>
      </c>
      <c r="H21" s="530">
        <f>'2009 Inventory'!$E21</f>
        <v>354181.51247755997</v>
      </c>
      <c r="I21" s="530">
        <f>'2010 Inventory'!$E21</f>
        <v>384111.59183307999</v>
      </c>
      <c r="J21" s="530">
        <f>'2011 Inventory'!$E21</f>
        <v>348492.05828656</v>
      </c>
      <c r="K21" s="531">
        <f>'2012 Inventory'!$E21</f>
        <v>328870.71340835997</v>
      </c>
      <c r="N21" s="226"/>
    </row>
    <row r="22" spans="2:14">
      <c r="B22" s="252" t="s">
        <v>699</v>
      </c>
      <c r="C22" s="256" t="s">
        <v>698</v>
      </c>
      <c r="D22" s="307" t="s">
        <v>56</v>
      </c>
      <c r="E22" s="64">
        <f>'2006 Inventory'!$E22</f>
        <v>43060.872509119996</v>
      </c>
      <c r="F22" s="519">
        <f>'2007 Inventory'!$E22</f>
        <v>76235.100021279999</v>
      </c>
      <c r="G22" s="519">
        <f>'2008 Inventory'!$E22</f>
        <v>158952.72646091998</v>
      </c>
      <c r="H22" s="519">
        <f>'2009 Inventory'!$E22</f>
        <v>173989.43771927999</v>
      </c>
      <c r="I22" s="519">
        <f>'2010 Inventory'!$E22</f>
        <v>186295.36109923999</v>
      </c>
      <c r="J22" s="519">
        <f>'2011 Inventory'!$E22</f>
        <v>179651.73825932</v>
      </c>
      <c r="K22" s="532">
        <f>'2012 Inventory'!$E22</f>
        <v>172078.68464047997</v>
      </c>
    </row>
    <row r="23" spans="2:14">
      <c r="B23" s="252" t="s">
        <v>699</v>
      </c>
      <c r="C23" s="256" t="s">
        <v>698</v>
      </c>
      <c r="D23" s="307" t="s">
        <v>57</v>
      </c>
      <c r="E23" s="64">
        <f>'2006 Inventory'!$E23</f>
        <v>82955.556979360001</v>
      </c>
      <c r="F23" s="519">
        <f>'2007 Inventory'!$E23</f>
        <v>68726.453579559995</v>
      </c>
      <c r="G23" s="519">
        <f>'2008 Inventory'!$E23</f>
        <v>150688.54452395998</v>
      </c>
      <c r="H23" s="519">
        <f>'2009 Inventory'!$E23</f>
        <v>121693.90810280001</v>
      </c>
      <c r="I23" s="519">
        <f>'2010 Inventory'!$E23</f>
        <v>169086.06090963999</v>
      </c>
      <c r="J23" s="519">
        <f>'2011 Inventory'!$E23</f>
        <v>173751.804034</v>
      </c>
      <c r="K23" s="532">
        <f>'2012 Inventory'!$E23</f>
        <v>186670.31896604001</v>
      </c>
    </row>
    <row r="24" spans="2:14">
      <c r="B24" s="252" t="s">
        <v>699</v>
      </c>
      <c r="C24" s="256" t="s">
        <v>698</v>
      </c>
      <c r="D24" s="307" t="s">
        <v>2267</v>
      </c>
      <c r="E24" s="64">
        <f>'2006 Inventory'!$E25</f>
        <v>34857.805053479999</v>
      </c>
      <c r="F24" s="519">
        <f>'2007 Inventory'!$E25</f>
        <v>34857.805053479999</v>
      </c>
      <c r="G24" s="519">
        <f>'2008 Inventory'!$E24</f>
        <v>34857.805053479999</v>
      </c>
      <c r="H24" s="519">
        <f>'2009 Inventory'!$E24</f>
        <v>36076.320875159996</v>
      </c>
      <c r="I24" s="519">
        <f>'2010 Inventory'!$E24</f>
        <v>36979.659172440006</v>
      </c>
      <c r="J24" s="519">
        <f>'2011 Inventory'!$E24</f>
        <v>36205.879071559997</v>
      </c>
      <c r="K24" s="532">
        <f>'2012 Inventory'!$E24</f>
        <v>33548.84757908</v>
      </c>
    </row>
    <row r="25" spans="2:14">
      <c r="B25" s="252" t="s">
        <v>699</v>
      </c>
      <c r="C25" s="256" t="s">
        <v>717</v>
      </c>
      <c r="D25" s="307" t="s">
        <v>55</v>
      </c>
      <c r="E25" s="64">
        <f>'2006 Inventory'!$E27</f>
        <v>192736.15046575997</v>
      </c>
      <c r="F25" s="519">
        <f>'2007 Inventory'!$E27</f>
        <v>193012.77103416002</v>
      </c>
      <c r="G25" s="519">
        <f>'2008 Inventory'!$E25</f>
        <v>187969.44612271999</v>
      </c>
      <c r="H25" s="519">
        <f>'2009 Inventory'!$E25</f>
        <v>180240.20271088</v>
      </c>
      <c r="I25" s="519">
        <f>'2010 Inventory'!$E25</f>
        <v>195086.76334588</v>
      </c>
      <c r="J25" s="519">
        <f>'2011 Inventory'!$E25</f>
        <v>184793.6632024</v>
      </c>
      <c r="K25" s="532">
        <f>'2012 Inventory'!$E25</f>
        <v>169140.46375092</v>
      </c>
    </row>
    <row r="26" spans="2:14">
      <c r="B26" s="252" t="s">
        <v>699</v>
      </c>
      <c r="C26" s="256" t="s">
        <v>717</v>
      </c>
      <c r="D26" s="307" t="s">
        <v>56</v>
      </c>
      <c r="E26" s="64">
        <f>'2006 Inventory'!$E28</f>
        <v>183423.84306113599</v>
      </c>
      <c r="F26" s="519">
        <f>'2007 Inventory'!$E28</f>
        <v>193499.94329140001</v>
      </c>
      <c r="G26" s="519">
        <f>'2008 Inventory'!$E26</f>
        <v>189763.14301279999</v>
      </c>
      <c r="H26" s="519">
        <f>'2009 Inventory'!$E26</f>
        <v>189764.30313360001</v>
      </c>
      <c r="I26" s="519">
        <f>'2010 Inventory'!$E26</f>
        <v>203639.51168335997</v>
      </c>
      <c r="J26" s="519">
        <f>'2011 Inventory'!$E26</f>
        <v>198048.26854232</v>
      </c>
      <c r="K26" s="532">
        <f>'2012 Inventory'!$E26</f>
        <v>203387.10351847997</v>
      </c>
    </row>
    <row r="27" spans="2:14">
      <c r="B27" s="252" t="s">
        <v>699</v>
      </c>
      <c r="C27" s="256" t="s">
        <v>717</v>
      </c>
      <c r="D27" s="307" t="s">
        <v>57</v>
      </c>
      <c r="E27" s="64">
        <f>'2006 Inventory'!$E29</f>
        <v>38740.524643879995</v>
      </c>
      <c r="F27" s="519">
        <f>'2007 Inventory'!$E29</f>
        <v>40351.731119999997</v>
      </c>
      <c r="G27" s="519">
        <f>'2008 Inventory'!$E27</f>
        <v>40746.138070799992</v>
      </c>
      <c r="H27" s="519">
        <f>'2009 Inventory'!$E27</f>
        <v>42451.618010400001</v>
      </c>
      <c r="I27" s="519">
        <f>'2010 Inventory'!$E27</f>
        <v>48237.345167199994</v>
      </c>
      <c r="J27" s="519">
        <f>'2011 Inventory'!$E27</f>
        <v>48219.329173599996</v>
      </c>
      <c r="K27" s="532">
        <f>'2012 Inventory'!$E27</f>
        <v>46980.251916799993</v>
      </c>
    </row>
    <row r="28" spans="2:14">
      <c r="B28" s="253" t="s">
        <v>699</v>
      </c>
      <c r="C28" s="258" t="s">
        <v>717</v>
      </c>
      <c r="D28" s="500" t="s">
        <v>2267</v>
      </c>
      <c r="E28" s="65">
        <f>'2006 Inventory'!$E30</f>
        <v>23158.259106777201</v>
      </c>
      <c r="F28" s="533">
        <f>'2007 Inventory'!$E30</f>
        <v>24179.6949718012</v>
      </c>
      <c r="G28" s="533">
        <f>'2008 Inventory'!$E28</f>
        <v>24083.196021293603</v>
      </c>
      <c r="H28" s="533">
        <f>'2009 Inventory'!$E28</f>
        <v>23427.090658247202</v>
      </c>
      <c r="I28" s="533">
        <f>'2010 Inventory'!$E28</f>
        <v>20178.452151687194</v>
      </c>
      <c r="J28" s="533">
        <f>'2011 Inventory'!$E28</f>
        <v>17902.983366691202</v>
      </c>
      <c r="K28" s="534">
        <f>'2012 Inventory'!$E28</f>
        <v>16946.761952258003</v>
      </c>
    </row>
    <row r="29" spans="2:14">
      <c r="B29" s="524"/>
      <c r="C29" s="524"/>
      <c r="D29" s="521" t="s">
        <v>863</v>
      </c>
      <c r="E29" s="65">
        <f>'2006 Inventory'!$E31</f>
        <v>865222.49976831325</v>
      </c>
      <c r="F29" s="533">
        <f>'2007 Inventory'!$E31</f>
        <v>943375.05222480104</v>
      </c>
      <c r="G29" s="533">
        <f>'2008 Inventory'!$E29</f>
        <v>1138428.7411067334</v>
      </c>
      <c r="H29" s="533">
        <f>'2009 Inventory'!$E29</f>
        <v>1121824.3936879274</v>
      </c>
      <c r="I29" s="533">
        <f>'2010 Inventory'!$E29</f>
        <v>1243614.745362527</v>
      </c>
      <c r="J29" s="533">
        <f>'2011 Inventory'!$E29</f>
        <v>1187065.7239364514</v>
      </c>
      <c r="K29" s="534">
        <f>'2012 Inventory'!$E29</f>
        <v>1157623.1457324177</v>
      </c>
    </row>
    <row r="30" spans="2:14">
      <c r="B30" s="185" t="s">
        <v>784</v>
      </c>
      <c r="C30" s="524"/>
      <c r="D30" s="524"/>
      <c r="E30" s="519"/>
      <c r="F30" s="519"/>
      <c r="G30" s="519"/>
      <c r="H30" s="519"/>
      <c r="I30" s="519"/>
      <c r="J30" s="519"/>
      <c r="K30" s="519"/>
    </row>
    <row r="31" spans="2:14">
      <c r="B31" s="524"/>
      <c r="C31" s="523"/>
      <c r="D31" s="524"/>
      <c r="E31" s="519"/>
      <c r="F31" s="519"/>
      <c r="G31" s="519"/>
      <c r="H31" s="519"/>
      <c r="I31" s="519"/>
      <c r="J31" s="519"/>
      <c r="K31" s="519"/>
    </row>
    <row r="32" spans="2:14">
      <c r="B32" s="520" t="s">
        <v>58</v>
      </c>
      <c r="C32" s="521" t="s">
        <v>783</v>
      </c>
      <c r="D32" s="522" t="s">
        <v>54</v>
      </c>
      <c r="E32" s="553">
        <v>2006</v>
      </c>
      <c r="F32" s="554">
        <v>2007</v>
      </c>
      <c r="G32" s="554">
        <v>2008</v>
      </c>
      <c r="H32" s="554">
        <v>2009</v>
      </c>
      <c r="I32" s="554">
        <v>2010</v>
      </c>
      <c r="J32" s="554">
        <v>2011</v>
      </c>
      <c r="K32" s="555">
        <v>2012</v>
      </c>
    </row>
    <row r="33" spans="2:15">
      <c r="B33" s="251" t="s">
        <v>781</v>
      </c>
      <c r="C33" s="254" t="s">
        <v>855</v>
      </c>
      <c r="D33" s="499" t="s">
        <v>782</v>
      </c>
      <c r="E33" s="240">
        <f>'2006 Inventory'!$E35</f>
        <v>767953.64874807023</v>
      </c>
      <c r="F33" s="530">
        <f>'2007 Inventory'!$E35</f>
        <v>781244.23781027412</v>
      </c>
      <c r="G33" s="530">
        <f>'2008 Inventory'!$E33</f>
        <v>766049.58889870136</v>
      </c>
      <c r="H33" s="530">
        <f>'2009 Inventory'!$E33</f>
        <v>822376.90982929419</v>
      </c>
      <c r="I33" s="530">
        <f>'2010 Inventory'!$E33</f>
        <v>773093.87858447561</v>
      </c>
      <c r="J33" s="530">
        <f>'2011 Inventory'!$E33</f>
        <v>764546.35717512167</v>
      </c>
      <c r="K33" s="531">
        <f>'2012 Inventory'!$E33</f>
        <v>730151.42619374255</v>
      </c>
      <c r="M33" s="226">
        <f>SUM(I33,I35,I37,I39,I39)</f>
        <v>938733.1239635587</v>
      </c>
      <c r="N33" s="226">
        <f t="shared" ref="N33:O33" si="0">SUM(J33,J35,J37,J39,J39)</f>
        <v>927832.40682211809</v>
      </c>
      <c r="O33" s="226">
        <f t="shared" si="0"/>
        <v>888997.96036464581</v>
      </c>
    </row>
    <row r="34" spans="2:15">
      <c r="B34" s="252" t="s">
        <v>781</v>
      </c>
      <c r="C34" s="256" t="s">
        <v>862</v>
      </c>
      <c r="D34" s="307" t="s">
        <v>782</v>
      </c>
      <c r="E34" s="64">
        <f>'2006 Inventory'!$E36</f>
        <v>4203.3830979952072</v>
      </c>
      <c r="F34" s="519">
        <f>'2007 Inventory'!$E36</f>
        <v>4276.1289434216087</v>
      </c>
      <c r="G34" s="519">
        <f>'2008 Inventory'!$E34</f>
        <v>4192.961254175003</v>
      </c>
      <c r="H34" s="519">
        <f>'2009 Inventory'!$E34</f>
        <v>4501.2680239142746</v>
      </c>
      <c r="I34" s="519">
        <f>'2010 Inventory'!$E34</f>
        <v>4231.5180710490895</v>
      </c>
      <c r="J34" s="519">
        <f>'2011 Inventory'!$E34</f>
        <v>4184.7333372563635</v>
      </c>
      <c r="K34" s="532">
        <f>'2012 Inventory'!$E34</f>
        <v>3996.4731840823674</v>
      </c>
      <c r="M34" s="226">
        <f>SUM(I34,I36,I38,I40)</f>
        <v>97625.884281728911</v>
      </c>
      <c r="N34" s="226">
        <f t="shared" ref="N34:O34" si="1">SUM(J34,J36,J38,J40)</f>
        <v>96885.901697293768</v>
      </c>
      <c r="O34" s="226">
        <f t="shared" si="1"/>
        <v>96027.168736836989</v>
      </c>
    </row>
    <row r="35" spans="2:15">
      <c r="B35" s="252" t="s">
        <v>781</v>
      </c>
      <c r="C35" s="256" t="s">
        <v>856</v>
      </c>
      <c r="D35" s="307" t="s">
        <v>782</v>
      </c>
      <c r="E35" s="64">
        <f>'2006 Inventory'!$E37</f>
        <v>126936.53916110282</v>
      </c>
      <c r="F35" s="519">
        <f>'2007 Inventory'!$E37</f>
        <v>138792.52044669402</v>
      </c>
      <c r="G35" s="519">
        <f>'2008 Inventory'!$E35</f>
        <v>137762.66507907258</v>
      </c>
      <c r="H35" s="519">
        <f>'2009 Inventory'!$E35</f>
        <v>149210.06657197708</v>
      </c>
      <c r="I35" s="519">
        <f>'2010 Inventory'!$E35</f>
        <v>146548.36926037513</v>
      </c>
      <c r="J35" s="519">
        <f>'2011 Inventory'!$E35</f>
        <v>144358.43867735457</v>
      </c>
      <c r="K35" s="532">
        <f>'2012 Inventory'!$E35</f>
        <v>141532.27715629476</v>
      </c>
      <c r="M35" s="226">
        <f>SUM(M33:M34)</f>
        <v>1036359.0082452876</v>
      </c>
      <c r="N35" s="226">
        <f t="shared" ref="N35:O35" si="2">SUM(N33:N34)</f>
        <v>1024718.3085194118</v>
      </c>
      <c r="O35" s="226">
        <f t="shared" si="2"/>
        <v>985025.1291014828</v>
      </c>
    </row>
    <row r="36" spans="2:15">
      <c r="B36" s="252" t="s">
        <v>781</v>
      </c>
      <c r="C36" s="256" t="s">
        <v>857</v>
      </c>
      <c r="D36" s="307" t="s">
        <v>782</v>
      </c>
      <c r="E36" s="64">
        <f>'2006 Inventory'!$E38</f>
        <v>5631.1919368172603</v>
      </c>
      <c r="F36" s="519">
        <f>'2007 Inventory'!$E38</f>
        <v>6157.1500782610265</v>
      </c>
      <c r="G36" s="519">
        <f>'2008 Inventory'!$E36</f>
        <v>6111.463365195078</v>
      </c>
      <c r="H36" s="519">
        <f>'2009 Inventory'!$E36</f>
        <v>6619.2959830557274</v>
      </c>
      <c r="I36" s="519">
        <f>'2010 Inventory'!$E36</f>
        <v>6501.2170710387691</v>
      </c>
      <c r="J36" s="519">
        <f>'2011 Inventory'!$E36</f>
        <v>6404.0667979748132</v>
      </c>
      <c r="K36" s="532">
        <f>'2012 Inventory'!$E36</f>
        <v>6278.6918817000196</v>
      </c>
    </row>
    <row r="37" spans="2:15">
      <c r="B37" s="252" t="s">
        <v>853</v>
      </c>
      <c r="C37" s="256" t="s">
        <v>858</v>
      </c>
      <c r="D37" s="307" t="s">
        <v>782</v>
      </c>
      <c r="E37" s="64">
        <f>'2006 Inventory'!$E39</f>
        <v>23224.146745852468</v>
      </c>
      <c r="F37" s="519">
        <f>'2007 Inventory'!$E39</f>
        <v>22961.470637341368</v>
      </c>
      <c r="G37" s="519">
        <f>'2008 Inventory'!$E37</f>
        <v>22412.911337353755</v>
      </c>
      <c r="H37" s="519">
        <f>'2009 Inventory'!$E37</f>
        <v>21178.334317601111</v>
      </c>
      <c r="I37" s="519">
        <f>'2010 Inventory'!$E37</f>
        <v>18105.328378470433</v>
      </c>
      <c r="J37" s="519">
        <f>'2011 Inventory'!$E37</f>
        <v>17945.897637852089</v>
      </c>
      <c r="K37" s="532">
        <f>'2012 Inventory'!$E37</f>
        <v>16203.467721053596</v>
      </c>
    </row>
    <row r="38" spans="2:15">
      <c r="B38" s="252" t="s">
        <v>853</v>
      </c>
      <c r="C38" s="256" t="s">
        <v>859</v>
      </c>
      <c r="D38" s="307" t="s">
        <v>782</v>
      </c>
      <c r="E38" s="64">
        <f>'2006 Inventory'!$E40</f>
        <v>67326.116492073284</v>
      </c>
      <c r="F38" s="519">
        <f>'2007 Inventory'!$E40</f>
        <v>66564.626200316445</v>
      </c>
      <c r="G38" s="519">
        <f>'2008 Inventory'!$E38</f>
        <v>64974.368967706949</v>
      </c>
      <c r="H38" s="519">
        <f>'2009 Inventory'!$E38</f>
        <v>61395.366597462838</v>
      </c>
      <c r="I38" s="519">
        <f>'2010 Inventory'!$E38</f>
        <v>52486.81300869886</v>
      </c>
      <c r="J38" s="519">
        <f>'2011 Inventory'!$E38</f>
        <v>52024.627993561313</v>
      </c>
      <c r="K38" s="532">
        <f>'2012 Inventory'!$E38</f>
        <v>46973.375052326817</v>
      </c>
    </row>
    <row r="39" spans="2:15">
      <c r="B39" s="252" t="s">
        <v>853</v>
      </c>
      <c r="C39" s="256" t="s">
        <v>860</v>
      </c>
      <c r="D39" s="307" t="s">
        <v>782</v>
      </c>
      <c r="E39" s="64">
        <f>'2006 Inventory'!$E41</f>
        <v>333.05113360178416</v>
      </c>
      <c r="F39" s="519">
        <f>'2007 Inventory'!$E41</f>
        <v>412.41688702972448</v>
      </c>
      <c r="G39" s="519">
        <f>'2008 Inventory'!$E39</f>
        <v>412.89075205683662</v>
      </c>
      <c r="H39" s="519">
        <f>'2009 Inventory'!$E39</f>
        <v>414.01005826835438</v>
      </c>
      <c r="I39" s="519">
        <f>'2010 Inventory'!$E39</f>
        <v>492.77387011875106</v>
      </c>
      <c r="J39" s="519">
        <f>'2011 Inventory'!$E39</f>
        <v>490.85666589488443</v>
      </c>
      <c r="K39" s="532">
        <f>'2012 Inventory'!$E39</f>
        <v>555.39464677737431</v>
      </c>
    </row>
    <row r="40" spans="2:15">
      <c r="B40" s="253" t="s">
        <v>853</v>
      </c>
      <c r="C40" s="258" t="s">
        <v>861</v>
      </c>
      <c r="D40" s="500" t="s">
        <v>782</v>
      </c>
      <c r="E40" s="65">
        <f>'2006 Inventory'!$E42</f>
        <v>23254.214450804498</v>
      </c>
      <c r="F40" s="533">
        <f>'2007 Inventory'!$E42</f>
        <v>28795.670593901414</v>
      </c>
      <c r="G40" s="533">
        <f>'2008 Inventory'!$E40</f>
        <v>28828.756681440078</v>
      </c>
      <c r="H40" s="533">
        <f>'2009 Inventory'!$E40</f>
        <v>28906.90860483174</v>
      </c>
      <c r="I40" s="533">
        <f>'2010 Inventory'!$E40</f>
        <v>34406.336130942189</v>
      </c>
      <c r="J40" s="533">
        <f>'2011 Inventory'!$E40</f>
        <v>34272.473568501278</v>
      </c>
      <c r="K40" s="534">
        <f>'2012 Inventory'!$E40</f>
        <v>38778.628618727787</v>
      </c>
    </row>
    <row r="41" spans="2:15">
      <c r="B41" s="524"/>
      <c r="C41" s="524"/>
      <c r="D41" s="521" t="s">
        <v>863</v>
      </c>
      <c r="E41" s="65">
        <f>'2006 Inventory'!$E43</f>
        <v>1018862.2917663176</v>
      </c>
      <c r="F41" s="533">
        <f>'2007 Inventory'!$E43</f>
        <v>1049204.2215972398</v>
      </c>
      <c r="G41" s="533">
        <f>'2008 Inventory'!$E41</f>
        <v>1030745.6063357017</v>
      </c>
      <c r="H41" s="533">
        <f>'2009 Inventory'!$E41</f>
        <v>1094602.1599864054</v>
      </c>
      <c r="I41" s="533">
        <f>'2010 Inventory'!$E41</f>
        <v>1035866.2343751689</v>
      </c>
      <c r="J41" s="533">
        <f>'2011 Inventory'!$E41</f>
        <v>1024227.4518535171</v>
      </c>
      <c r="K41" s="534">
        <f>'2012 Inventory'!$E41</f>
        <v>984469.7344547055</v>
      </c>
    </row>
    <row r="42" spans="2:15" s="697" customFormat="1">
      <c r="B42" s="185" t="s">
        <v>2249</v>
      </c>
      <c r="D42" s="627"/>
      <c r="E42" s="741"/>
      <c r="F42" s="741"/>
      <c r="G42" s="741"/>
      <c r="H42" s="741"/>
      <c r="I42" s="741"/>
      <c r="J42" s="741"/>
      <c r="K42" s="741"/>
    </row>
    <row r="43" spans="2:15" s="697" customFormat="1">
      <c r="C43" s="2"/>
      <c r="E43" s="741"/>
      <c r="F43" s="741"/>
      <c r="G43" s="741"/>
      <c r="H43" s="741"/>
      <c r="I43" s="741"/>
      <c r="J43" s="741"/>
      <c r="K43" s="741"/>
    </row>
    <row r="44" spans="2:15" s="697" customFormat="1">
      <c r="B44" s="792" t="s">
        <v>58</v>
      </c>
      <c r="C44" s="796" t="s">
        <v>2065</v>
      </c>
      <c r="D44" s="794" t="s">
        <v>54</v>
      </c>
      <c r="E44" s="553">
        <v>2006</v>
      </c>
      <c r="F44" s="554">
        <v>2007</v>
      </c>
      <c r="G44" s="554">
        <v>2008</v>
      </c>
      <c r="H44" s="554">
        <v>2009</v>
      </c>
      <c r="I44" s="554">
        <v>2010</v>
      </c>
      <c r="J44" s="554">
        <v>2011</v>
      </c>
      <c r="K44" s="555">
        <v>2012</v>
      </c>
    </row>
    <row r="45" spans="2:15" s="697" customFormat="1">
      <c r="B45" s="166" t="s">
        <v>2068</v>
      </c>
      <c r="C45" s="158" t="s">
        <v>2071</v>
      </c>
      <c r="D45" s="158" t="s">
        <v>2063</v>
      </c>
      <c r="E45" s="535">
        <f>'2006 Inventory'!$E50</f>
        <v>7475.7288685244612</v>
      </c>
      <c r="F45" s="536">
        <f>'2007 Inventory'!$E50</f>
        <v>7372.1254102586927</v>
      </c>
      <c r="G45" s="536">
        <f>'2008 Inventory'!$E48</f>
        <v>7193.5080034777529</v>
      </c>
      <c r="H45" s="536">
        <f>'2009 Inventory'!$E48</f>
        <v>6921.6528730191258</v>
      </c>
      <c r="I45" s="536">
        <f>'2010 Inventory'!$E48</f>
        <v>6670.2843607818195</v>
      </c>
      <c r="J45" s="536">
        <f>'2011 Inventory'!$E48</f>
        <v>7559.794082582107</v>
      </c>
      <c r="K45" s="537">
        <f>'2012 Inventory'!$E48</f>
        <v>8792.5848741928803</v>
      </c>
    </row>
    <row r="47" spans="2:15">
      <c r="B47" s="543" t="s">
        <v>973</v>
      </c>
    </row>
    <row r="48" spans="2:15">
      <c r="B48" s="538"/>
    </row>
    <row r="49" spans="2:9">
      <c r="B49" s="888"/>
      <c r="C49" s="57">
        <v>2006</v>
      </c>
      <c r="D49" s="57">
        <v>2007</v>
      </c>
      <c r="E49" s="57">
        <v>2008</v>
      </c>
      <c r="F49" s="525">
        <v>2009</v>
      </c>
      <c r="G49" s="525">
        <v>2010</v>
      </c>
      <c r="H49" s="525">
        <v>2011</v>
      </c>
      <c r="I49" s="526">
        <v>2012</v>
      </c>
    </row>
    <row r="50" spans="2:9">
      <c r="B50" s="894" t="s">
        <v>55</v>
      </c>
      <c r="C50" s="895">
        <f>SUM(E21,E25,E14,E15,E16,E6)</f>
        <v>784081.83109018579</v>
      </c>
      <c r="D50" s="270">
        <f t="shared" ref="D50:I50" si="3">SUM(F21,F25,F14,F15,F16,F6)</f>
        <v>844089.06158209266</v>
      </c>
      <c r="E50" s="270">
        <f t="shared" si="3"/>
        <v>896650.65782413702</v>
      </c>
      <c r="F50" s="270">
        <f t="shared" si="3"/>
        <v>888917.71402969281</v>
      </c>
      <c r="G50" s="270">
        <f t="shared" si="3"/>
        <v>957273.58369880763</v>
      </c>
      <c r="H50" s="270">
        <f t="shared" si="3"/>
        <v>867273.39175524737</v>
      </c>
      <c r="I50" s="267">
        <f t="shared" si="3"/>
        <v>806597.77884738252</v>
      </c>
    </row>
    <row r="51" spans="2:9">
      <c r="B51" s="541" t="s">
        <v>56</v>
      </c>
      <c r="C51" s="896">
        <f>SUM(E26,E22,E7)</f>
        <v>415468.05896383006</v>
      </c>
      <c r="D51" s="248">
        <f t="shared" ref="D51:I51" si="4">SUM(F26,F22,F7)</f>
        <v>464339.93809494353</v>
      </c>
      <c r="E51" s="248">
        <f t="shared" si="4"/>
        <v>557348.42022866441</v>
      </c>
      <c r="F51" s="248">
        <f t="shared" si="4"/>
        <v>573197.86059438996</v>
      </c>
      <c r="G51" s="248">
        <f t="shared" si="4"/>
        <v>608675.11525736633</v>
      </c>
      <c r="H51" s="248">
        <f t="shared" si="4"/>
        <v>575502.04264550819</v>
      </c>
      <c r="I51" s="268">
        <f t="shared" si="4"/>
        <v>556306.94621719979</v>
      </c>
    </row>
    <row r="52" spans="2:9">
      <c r="B52" s="541" t="s">
        <v>57</v>
      </c>
      <c r="C52" s="896">
        <f>SUM(E23,E27,E8)</f>
        <v>365744.21001444</v>
      </c>
      <c r="D52" s="248">
        <f t="shared" ref="D52:I52" si="5">SUM(F23,F27,F8)</f>
        <v>384359.68515904847</v>
      </c>
      <c r="E52" s="248">
        <f t="shared" si="5"/>
        <v>451474.93454874121</v>
      </c>
      <c r="F52" s="248">
        <f t="shared" si="5"/>
        <v>377693.05085242179</v>
      </c>
      <c r="G52" s="248">
        <f t="shared" si="5"/>
        <v>492087.18428196176</v>
      </c>
      <c r="H52" s="248">
        <f t="shared" si="5"/>
        <v>510205.14673304744</v>
      </c>
      <c r="I52" s="268">
        <f t="shared" si="5"/>
        <v>554044.36640307331</v>
      </c>
    </row>
    <row r="53" spans="2:9">
      <c r="B53" s="541" t="s">
        <v>2267</v>
      </c>
      <c r="C53" s="896">
        <f>SUM(E9,E24,E28)</f>
        <v>91649.654160257196</v>
      </c>
      <c r="D53" s="248">
        <f t="shared" ref="D53:I53" si="6">SUM(F9,F24,F28)</f>
        <v>97158.733359881197</v>
      </c>
      <c r="E53" s="248">
        <f t="shared" si="6"/>
        <v>109934.53974747361</v>
      </c>
      <c r="F53" s="248">
        <f t="shared" si="6"/>
        <v>105972.9735859072</v>
      </c>
      <c r="G53" s="248">
        <f t="shared" si="6"/>
        <v>105237.58418972719</v>
      </c>
      <c r="H53" s="248">
        <f t="shared" si="6"/>
        <v>104556.9616782512</v>
      </c>
      <c r="I53" s="268">
        <f t="shared" si="6"/>
        <v>92580.192731338</v>
      </c>
    </row>
    <row r="54" spans="2:9">
      <c r="B54" s="541" t="s">
        <v>782</v>
      </c>
      <c r="C54" s="896">
        <f>SUM(E33:E40)</f>
        <v>1018862.2917663176</v>
      </c>
      <c r="D54" s="248">
        <f t="shared" ref="D54:I54" si="7">SUM(F33:F40)</f>
        <v>1049204.2215972398</v>
      </c>
      <c r="E54" s="248">
        <f t="shared" si="7"/>
        <v>1030745.6063357017</v>
      </c>
      <c r="F54" s="248">
        <f t="shared" si="7"/>
        <v>1094602.1599864054</v>
      </c>
      <c r="G54" s="248">
        <f t="shared" si="7"/>
        <v>1035866.2343751689</v>
      </c>
      <c r="H54" s="248">
        <f t="shared" si="7"/>
        <v>1024227.4518535171</v>
      </c>
      <c r="I54" s="268">
        <f t="shared" si="7"/>
        <v>984469.7344547055</v>
      </c>
    </row>
    <row r="55" spans="2:9">
      <c r="B55" s="542" t="s">
        <v>2249</v>
      </c>
      <c r="C55" s="884">
        <f>E45</f>
        <v>7475.7288685244612</v>
      </c>
      <c r="D55" s="272">
        <f t="shared" ref="D55:I55" si="8">F45</f>
        <v>7372.1254102586927</v>
      </c>
      <c r="E55" s="272">
        <f t="shared" si="8"/>
        <v>7193.5080034777529</v>
      </c>
      <c r="F55" s="272">
        <f t="shared" si="8"/>
        <v>6921.6528730191258</v>
      </c>
      <c r="G55" s="272">
        <f t="shared" si="8"/>
        <v>6670.2843607818195</v>
      </c>
      <c r="H55" s="272">
        <f t="shared" si="8"/>
        <v>7559.794082582107</v>
      </c>
      <c r="I55" s="269">
        <f t="shared" si="8"/>
        <v>8792.5848741928803</v>
      </c>
    </row>
    <row r="56" spans="2:9">
      <c r="B56" s="542" t="s">
        <v>50</v>
      </c>
      <c r="C56" s="897">
        <f>SUM(C50:C55)</f>
        <v>2683281.7748635551</v>
      </c>
      <c r="D56" s="539">
        <f t="shared" ref="D56:I56" si="9">SUM(D50:D55)</f>
        <v>2846523.7652034648</v>
      </c>
      <c r="E56" s="539">
        <f t="shared" si="9"/>
        <v>3053347.6666881959</v>
      </c>
      <c r="F56" s="539">
        <f t="shared" si="9"/>
        <v>3047305.4119218364</v>
      </c>
      <c r="G56" s="539">
        <f t="shared" si="9"/>
        <v>3205809.9861638136</v>
      </c>
      <c r="H56" s="539">
        <f t="shared" si="9"/>
        <v>3089324.788748153</v>
      </c>
      <c r="I56" s="540">
        <f t="shared" si="9"/>
        <v>3002791.6035278919</v>
      </c>
    </row>
  </sheetData>
  <pageMargins left="0.7" right="0.7" top="0.75" bottom="0.75" header="0.3" footer="0.3"/>
  <pageSetup orientation="portrait" horizontalDpi="4294967293" verticalDpi="0" r:id="rId1"/>
  <drawing r:id="rId2"/>
</worksheet>
</file>

<file path=xl/worksheets/sheet20.xml><?xml version="1.0" encoding="utf-8"?>
<worksheet xmlns="http://schemas.openxmlformats.org/spreadsheetml/2006/main" xmlns:r="http://schemas.openxmlformats.org/officeDocument/2006/relationships">
  <dimension ref="A1:O137"/>
  <sheetViews>
    <sheetView topLeftCell="A77" zoomScale="80" zoomScaleNormal="80" workbookViewId="0">
      <selection activeCell="A2" sqref="A2:XFD2"/>
    </sheetView>
  </sheetViews>
  <sheetFormatPr defaultRowHeight="15"/>
  <cols>
    <col min="1" max="1" width="39" customWidth="1"/>
    <col min="2" max="2" width="34.7109375" bestFit="1" customWidth="1"/>
    <col min="3" max="8" width="15.140625" bestFit="1" customWidth="1"/>
    <col min="9" max="14" width="10.7109375" customWidth="1"/>
    <col min="15" max="15" width="10.5703125" style="1" bestFit="1" customWidth="1"/>
  </cols>
  <sheetData>
    <row r="1" spans="1:15" s="697" customFormat="1">
      <c r="A1" s="74" t="s">
        <v>2251</v>
      </c>
      <c r="O1" s="700"/>
    </row>
    <row r="2" spans="1:15" s="697" customFormat="1">
      <c r="A2" s="707"/>
      <c r="O2" s="700"/>
    </row>
    <row r="3" spans="1:15">
      <c r="A3" s="3" t="s">
        <v>3</v>
      </c>
      <c r="B3" s="12"/>
      <c r="C3" s="12"/>
      <c r="D3" s="12"/>
      <c r="E3" s="12"/>
      <c r="F3" s="12"/>
      <c r="G3" s="12"/>
      <c r="H3" s="12"/>
      <c r="I3" s="12"/>
    </row>
    <row r="4" spans="1:15">
      <c r="A4" s="4" t="s">
        <v>4</v>
      </c>
    </row>
    <row r="5" spans="1:15">
      <c r="A5" s="4" t="s">
        <v>5</v>
      </c>
    </row>
    <row r="6" spans="1:15">
      <c r="A6" s="4" t="s">
        <v>6</v>
      </c>
    </row>
    <row r="7" spans="1:15">
      <c r="A7" s="4" t="s">
        <v>7</v>
      </c>
    </row>
    <row r="8" spans="1:15">
      <c r="A8" s="4" t="s">
        <v>8</v>
      </c>
    </row>
    <row r="9" spans="1:15">
      <c r="A9" s="4" t="s">
        <v>9</v>
      </c>
    </row>
    <row r="10" spans="1:15" ht="15.75">
      <c r="C10" s="1141" t="s">
        <v>884</v>
      </c>
      <c r="D10" s="1141"/>
      <c r="E10" s="1141"/>
      <c r="F10" s="1141"/>
      <c r="G10" s="1141"/>
      <c r="H10" s="1141"/>
      <c r="I10" s="1141"/>
      <c r="J10" s="1141"/>
      <c r="K10" s="1141"/>
      <c r="L10" s="1141"/>
      <c r="M10" s="1141"/>
      <c r="N10" s="1141"/>
    </row>
    <row r="11" spans="1:15">
      <c r="C11" s="4" t="s">
        <v>11</v>
      </c>
      <c r="D11" s="4" t="s">
        <v>12</v>
      </c>
      <c r="E11" s="4" t="s">
        <v>13</v>
      </c>
      <c r="F11" s="4" t="s">
        <v>14</v>
      </c>
      <c r="G11" s="4" t="s">
        <v>15</v>
      </c>
      <c r="H11" s="4" t="s">
        <v>16</v>
      </c>
      <c r="I11" s="4" t="s">
        <v>17</v>
      </c>
      <c r="J11" s="4" t="s">
        <v>18</v>
      </c>
      <c r="K11" s="4" t="s">
        <v>19</v>
      </c>
      <c r="L11" s="4" t="s">
        <v>20</v>
      </c>
      <c r="M11" s="4" t="s">
        <v>21</v>
      </c>
      <c r="N11" s="4" t="s">
        <v>22</v>
      </c>
      <c r="O11" s="10" t="s">
        <v>50</v>
      </c>
    </row>
    <row r="12" spans="1:15">
      <c r="C12" s="292" t="s">
        <v>883</v>
      </c>
      <c r="D12" s="292" t="s">
        <v>883</v>
      </c>
      <c r="E12" s="292" t="s">
        <v>883</v>
      </c>
      <c r="F12" s="292" t="s">
        <v>883</v>
      </c>
      <c r="G12" s="292" t="s">
        <v>883</v>
      </c>
      <c r="H12" s="292" t="s">
        <v>883</v>
      </c>
      <c r="I12" s="292" t="s">
        <v>883</v>
      </c>
      <c r="J12" s="292" t="s">
        <v>883</v>
      </c>
      <c r="K12" s="292" t="s">
        <v>883</v>
      </c>
      <c r="L12" s="292" t="s">
        <v>882</v>
      </c>
      <c r="M12" s="292" t="s">
        <v>882</v>
      </c>
      <c r="N12" s="292" t="s">
        <v>882</v>
      </c>
    </row>
    <row r="13" spans="1:15">
      <c r="A13" s="288" t="s">
        <v>25</v>
      </c>
      <c r="B13" s="288" t="s">
        <v>26</v>
      </c>
      <c r="C13" s="231">
        <v>14813.8</v>
      </c>
      <c r="D13" s="231">
        <v>20581.5</v>
      </c>
      <c r="E13" s="231">
        <v>16757.599999999999</v>
      </c>
      <c r="F13" s="231">
        <v>8128.6</v>
      </c>
      <c r="G13" s="231">
        <v>5620.2</v>
      </c>
      <c r="H13" s="231">
        <v>2110</v>
      </c>
      <c r="I13" s="231">
        <v>2068.5</v>
      </c>
      <c r="J13" s="231">
        <v>1690.7</v>
      </c>
      <c r="K13" s="231">
        <v>1524.1</v>
      </c>
      <c r="L13" s="231">
        <v>2047.2</v>
      </c>
      <c r="M13" s="231">
        <v>5426.4</v>
      </c>
      <c r="N13" s="231">
        <v>12259.8</v>
      </c>
      <c r="O13" s="53">
        <f>SUM(C13:N13)</f>
        <v>93028.4</v>
      </c>
    </row>
    <row r="14" spans="1:15">
      <c r="A14" s="231"/>
      <c r="B14" s="288" t="s">
        <v>27</v>
      </c>
      <c r="C14" s="231">
        <v>300.60000000000002</v>
      </c>
      <c r="D14" s="231">
        <v>467</v>
      </c>
      <c r="E14" s="231">
        <v>215.4</v>
      </c>
      <c r="F14" s="231">
        <v>155.30000000000001</v>
      </c>
      <c r="G14" s="231">
        <v>45.8</v>
      </c>
      <c r="H14" s="231">
        <v>30.5</v>
      </c>
      <c r="I14" s="231">
        <v>30</v>
      </c>
      <c r="J14" s="231">
        <v>19</v>
      </c>
      <c r="K14" s="231">
        <v>21</v>
      </c>
      <c r="L14" s="231">
        <v>37.6</v>
      </c>
      <c r="M14" s="231">
        <v>225.3</v>
      </c>
      <c r="N14" s="231">
        <v>291</v>
      </c>
      <c r="O14" s="53">
        <f t="shared" ref="O14:O77" si="0">SUM(C14:N14)</f>
        <v>1838.4999999999998</v>
      </c>
    </row>
    <row r="15" spans="1:15">
      <c r="A15" s="231"/>
      <c r="B15" s="294" t="s">
        <v>28</v>
      </c>
      <c r="C15" s="293">
        <v>35183.369300000006</v>
      </c>
      <c r="D15" s="293">
        <v>50264.076399999998</v>
      </c>
      <c r="E15" s="293">
        <v>31208.509699999999</v>
      </c>
      <c r="F15" s="293">
        <v>20260.465900000003</v>
      </c>
      <c r="G15" s="293">
        <v>9737.2582000000002</v>
      </c>
      <c r="H15" s="293">
        <v>5189.5718000000006</v>
      </c>
      <c r="I15" s="293">
        <v>4622.0011000000004</v>
      </c>
      <c r="J15" s="293">
        <v>5880.1518999999998</v>
      </c>
      <c r="K15" s="293">
        <v>4768.8932000000004</v>
      </c>
      <c r="L15" s="293">
        <v>6594.0848999999998</v>
      </c>
      <c r="M15" s="293">
        <v>19807.295100000003</v>
      </c>
      <c r="N15" s="293">
        <v>29984.1531</v>
      </c>
      <c r="O15" s="54">
        <f t="shared" si="0"/>
        <v>223499.83059999999</v>
      </c>
    </row>
    <row r="16" spans="1:15">
      <c r="A16" s="231"/>
      <c r="B16" s="288" t="s">
        <v>29</v>
      </c>
      <c r="C16" s="231">
        <v>30757.3</v>
      </c>
      <c r="D16" s="231">
        <v>48742.1</v>
      </c>
      <c r="E16" s="231">
        <v>23653.1</v>
      </c>
      <c r="F16" s="231">
        <v>15839</v>
      </c>
      <c r="G16" s="231">
        <v>5531</v>
      </c>
      <c r="H16" s="231">
        <v>3708.8</v>
      </c>
      <c r="I16" s="231">
        <v>2931.1</v>
      </c>
      <c r="J16" s="231">
        <v>3078.5</v>
      </c>
      <c r="K16" s="231">
        <v>2857.8</v>
      </c>
      <c r="L16" s="231">
        <v>3998</v>
      </c>
      <c r="M16" s="231">
        <v>17694.5</v>
      </c>
      <c r="N16" s="231">
        <v>27784.6</v>
      </c>
      <c r="O16" s="53">
        <f t="shared" si="0"/>
        <v>186575.8</v>
      </c>
    </row>
    <row r="17" spans="1:15">
      <c r="A17" s="231"/>
      <c r="B17" s="288" t="s">
        <v>30</v>
      </c>
      <c r="C17" s="231">
        <v>1789.8</v>
      </c>
      <c r="D17" s="231">
        <v>2124.3000000000002</v>
      </c>
      <c r="E17" s="231">
        <v>2037.4</v>
      </c>
      <c r="F17" s="231">
        <v>704.2</v>
      </c>
      <c r="G17" s="231">
        <v>881.9</v>
      </c>
      <c r="H17" s="231">
        <v>206.4</v>
      </c>
      <c r="I17" s="231">
        <v>196.5</v>
      </c>
      <c r="J17" s="231">
        <v>150.9</v>
      </c>
      <c r="K17" s="231">
        <v>131.9</v>
      </c>
      <c r="L17" s="231">
        <v>176.4</v>
      </c>
      <c r="M17" s="231">
        <v>499.6</v>
      </c>
      <c r="N17" s="231">
        <v>1400.8</v>
      </c>
      <c r="O17" s="53">
        <f t="shared" si="0"/>
        <v>10300.099999999999</v>
      </c>
    </row>
    <row r="18" spans="1:15">
      <c r="A18" s="231"/>
      <c r="B18" s="288" t="s">
        <v>31</v>
      </c>
      <c r="C18" s="231">
        <v>18308.4244</v>
      </c>
      <c r="D18" s="231">
        <v>23603.6911</v>
      </c>
      <c r="E18" s="231">
        <v>27286.118600000002</v>
      </c>
      <c r="F18" s="231">
        <v>10950.095800000001</v>
      </c>
      <c r="G18" s="231">
        <v>10089.253100000002</v>
      </c>
      <c r="H18" s="231">
        <v>4013.7349000000004</v>
      </c>
      <c r="I18" s="231">
        <v>2557.0792000000001</v>
      </c>
      <c r="J18" s="231">
        <v>3103.8031000000001</v>
      </c>
      <c r="K18" s="231">
        <v>2484.3833000000004</v>
      </c>
      <c r="L18" s="231">
        <v>2680.3271</v>
      </c>
      <c r="M18" s="231">
        <v>5889.4535999999998</v>
      </c>
      <c r="N18" s="231">
        <v>15022.933300000001</v>
      </c>
      <c r="O18" s="53">
        <f t="shared" si="0"/>
        <v>125989.2975</v>
      </c>
    </row>
    <row r="19" spans="1:15">
      <c r="A19" s="231"/>
      <c r="B19" s="288" t="s">
        <v>32</v>
      </c>
      <c r="C19" s="231">
        <v>2191.2948000000001</v>
      </c>
      <c r="D19" s="231">
        <v>3407.4103999999998</v>
      </c>
      <c r="E19" s="231">
        <v>2869.3828000000003</v>
      </c>
      <c r="F19" s="231">
        <v>1077.8671999999999</v>
      </c>
      <c r="G19" s="231">
        <v>517.56769999999995</v>
      </c>
      <c r="H19" s="231">
        <v>227.84790000000001</v>
      </c>
      <c r="I19" s="231">
        <v>173.8</v>
      </c>
      <c r="J19" s="231">
        <v>168.5</v>
      </c>
      <c r="K19" s="231">
        <v>154.1</v>
      </c>
      <c r="L19" s="231">
        <v>258.63589999999999</v>
      </c>
      <c r="M19" s="231">
        <v>1066.1354000000001</v>
      </c>
      <c r="N19" s="231">
        <v>1968.9708000000001</v>
      </c>
      <c r="O19" s="53">
        <f t="shared" si="0"/>
        <v>14081.512899999998</v>
      </c>
    </row>
    <row r="20" spans="1:15">
      <c r="A20" s="231"/>
      <c r="B20" s="288" t="s">
        <v>33</v>
      </c>
      <c r="C20" s="231">
        <v>681.7</v>
      </c>
      <c r="D20" s="231">
        <v>932.4</v>
      </c>
      <c r="E20" s="231">
        <v>527.5</v>
      </c>
      <c r="F20" s="231">
        <v>343.8</v>
      </c>
      <c r="G20" s="231">
        <v>102.4</v>
      </c>
      <c r="H20" s="231">
        <v>50.5</v>
      </c>
      <c r="I20" s="231">
        <v>60.7</v>
      </c>
      <c r="J20" s="231">
        <v>53.4</v>
      </c>
      <c r="K20" s="231">
        <v>60.6</v>
      </c>
      <c r="L20" s="231">
        <v>95.3</v>
      </c>
      <c r="M20" s="231">
        <v>516.4</v>
      </c>
      <c r="N20" s="231">
        <v>607.9</v>
      </c>
      <c r="O20" s="53">
        <f t="shared" si="0"/>
        <v>4032.6000000000004</v>
      </c>
    </row>
    <row r="21" spans="1:15">
      <c r="A21" s="231"/>
      <c r="B21" s="288" t="s">
        <v>34</v>
      </c>
      <c r="C21" s="231">
        <v>4811.3114999999998</v>
      </c>
      <c r="D21" s="231">
        <v>6525.2150999999994</v>
      </c>
      <c r="E21" s="231">
        <v>3619.3916999999997</v>
      </c>
      <c r="F21" s="231">
        <v>2412.7957999999999</v>
      </c>
      <c r="G21" s="231">
        <v>818.04790000000014</v>
      </c>
      <c r="H21" s="231">
        <v>516.33590000000004</v>
      </c>
      <c r="I21" s="231">
        <v>496.63590000000005</v>
      </c>
      <c r="J21" s="231">
        <v>506.64789999999999</v>
      </c>
      <c r="K21" s="231">
        <v>439.63589999999999</v>
      </c>
      <c r="L21" s="231">
        <v>651.73590000000002</v>
      </c>
      <c r="M21" s="231">
        <v>2988.4593999999997</v>
      </c>
      <c r="N21" s="231">
        <v>4067.3542000000002</v>
      </c>
      <c r="O21" s="53">
        <f t="shared" si="0"/>
        <v>27853.567100000004</v>
      </c>
    </row>
    <row r="22" spans="1:15">
      <c r="A22" s="231"/>
      <c r="B22" s="288" t="s">
        <v>35</v>
      </c>
      <c r="C22" s="231">
        <v>1026.8</v>
      </c>
      <c r="D22" s="231">
        <v>1592.8</v>
      </c>
      <c r="E22" s="231">
        <v>815.9</v>
      </c>
      <c r="F22" s="231">
        <v>564.9</v>
      </c>
      <c r="G22" s="231">
        <v>188.2</v>
      </c>
      <c r="H22" s="231">
        <v>82.8</v>
      </c>
      <c r="I22" s="231">
        <v>81.599999999999994</v>
      </c>
      <c r="J22" s="231">
        <v>70.400000000000006</v>
      </c>
      <c r="K22" s="231">
        <v>75.7</v>
      </c>
      <c r="L22" s="231">
        <v>140.1</v>
      </c>
      <c r="M22" s="231">
        <v>704.5</v>
      </c>
      <c r="N22" s="231">
        <v>926.4</v>
      </c>
      <c r="O22" s="53">
        <f t="shared" si="0"/>
        <v>6270.1</v>
      </c>
    </row>
    <row r="23" spans="1:15">
      <c r="A23" s="231"/>
      <c r="B23" s="288" t="s">
        <v>36</v>
      </c>
      <c r="C23" s="231">
        <v>11522.2</v>
      </c>
      <c r="D23" s="231">
        <v>17173.900000000001</v>
      </c>
      <c r="E23" s="231">
        <v>12651.3</v>
      </c>
      <c r="F23" s="231">
        <v>6615.3</v>
      </c>
      <c r="G23" s="231">
        <v>3310.2</v>
      </c>
      <c r="H23" s="231">
        <v>1363.9</v>
      </c>
      <c r="I23" s="231">
        <v>1083.4000000000001</v>
      </c>
      <c r="J23" s="231">
        <v>1026.5</v>
      </c>
      <c r="K23" s="231">
        <v>877</v>
      </c>
      <c r="L23" s="231">
        <v>1390</v>
      </c>
      <c r="M23" s="231">
        <v>5511.3</v>
      </c>
      <c r="N23" s="231">
        <v>10427</v>
      </c>
      <c r="O23" s="53">
        <f t="shared" si="0"/>
        <v>72952</v>
      </c>
    </row>
    <row r="24" spans="1:15">
      <c r="A24" s="231"/>
      <c r="B24" s="288" t="s">
        <v>37</v>
      </c>
      <c r="C24" s="231">
        <v>1109.7</v>
      </c>
      <c r="D24" s="231">
        <v>1522.5</v>
      </c>
      <c r="E24" s="231">
        <v>881.1</v>
      </c>
      <c r="F24" s="231">
        <v>669.5</v>
      </c>
      <c r="G24" s="231">
        <v>202.3</v>
      </c>
      <c r="H24" s="231">
        <v>104</v>
      </c>
      <c r="I24" s="231">
        <v>92.7</v>
      </c>
      <c r="J24" s="231">
        <v>89.6</v>
      </c>
      <c r="K24" s="231">
        <v>95.8</v>
      </c>
      <c r="L24" s="231">
        <v>173.4</v>
      </c>
      <c r="M24" s="231">
        <v>807.5</v>
      </c>
      <c r="N24" s="231">
        <v>992.6</v>
      </c>
      <c r="O24" s="53">
        <f t="shared" si="0"/>
        <v>6740.7</v>
      </c>
    </row>
    <row r="25" spans="1:15">
      <c r="A25" s="231"/>
      <c r="B25" s="288" t="s">
        <v>38</v>
      </c>
      <c r="C25" s="231">
        <v>11014.6</v>
      </c>
      <c r="D25" s="231">
        <v>13353.3</v>
      </c>
      <c r="E25" s="231">
        <v>13996.1</v>
      </c>
      <c r="F25" s="231">
        <v>5972.5</v>
      </c>
      <c r="G25" s="231">
        <v>4495.7</v>
      </c>
      <c r="H25" s="231">
        <v>1434.6</v>
      </c>
      <c r="I25" s="231">
        <v>820.8</v>
      </c>
      <c r="J25" s="231">
        <v>859.1</v>
      </c>
      <c r="K25" s="231">
        <v>736.3</v>
      </c>
      <c r="L25" s="231">
        <v>1028.7</v>
      </c>
      <c r="M25" s="231">
        <v>3453.3</v>
      </c>
      <c r="N25" s="231">
        <v>8835.7999999999993</v>
      </c>
      <c r="O25" s="53">
        <f t="shared" si="0"/>
        <v>66000.800000000003</v>
      </c>
    </row>
    <row r="26" spans="1:15">
      <c r="A26" s="231"/>
      <c r="B26" s="288" t="s">
        <v>39</v>
      </c>
      <c r="C26" s="231">
        <v>22064.157199999998</v>
      </c>
      <c r="D26" s="231">
        <v>29386.778399999999</v>
      </c>
      <c r="E26" s="231">
        <v>26218.639999999999</v>
      </c>
      <c r="F26" s="231">
        <v>12409.933999999999</v>
      </c>
      <c r="G26" s="231">
        <v>8039.3179</v>
      </c>
      <c r="H26" s="231">
        <v>3312.7973999999999</v>
      </c>
      <c r="I26" s="231">
        <v>2358.5770000000002</v>
      </c>
      <c r="J26" s="231">
        <v>2334.1829000000002</v>
      </c>
      <c r="K26" s="231">
        <v>2433.1896999999999</v>
      </c>
      <c r="L26" s="231">
        <v>3138.7151999999996</v>
      </c>
      <c r="M26" s="231">
        <v>8812.89</v>
      </c>
      <c r="N26" s="231">
        <v>17872.2075</v>
      </c>
      <c r="O26" s="53">
        <f t="shared" si="0"/>
        <v>138381.3872</v>
      </c>
    </row>
    <row r="27" spans="1:15">
      <c r="A27" s="231"/>
      <c r="B27" s="288" t="s">
        <v>40</v>
      </c>
      <c r="C27" s="231">
        <v>1116.5999999999999</v>
      </c>
      <c r="D27" s="231">
        <v>1617.6</v>
      </c>
      <c r="E27" s="231">
        <v>1183.4000000000001</v>
      </c>
      <c r="F27" s="231">
        <v>733.8</v>
      </c>
      <c r="G27" s="231">
        <v>255.5</v>
      </c>
      <c r="H27" s="231">
        <v>117.6</v>
      </c>
      <c r="I27" s="231">
        <v>88.2</v>
      </c>
      <c r="J27" s="231">
        <v>84.8</v>
      </c>
      <c r="K27" s="231">
        <v>87.1</v>
      </c>
      <c r="L27" s="231">
        <v>133.5</v>
      </c>
      <c r="M27" s="231">
        <v>501.6</v>
      </c>
      <c r="N27" s="231">
        <v>921.9</v>
      </c>
      <c r="O27" s="53">
        <f t="shared" si="0"/>
        <v>6841.6</v>
      </c>
    </row>
    <row r="28" spans="1:15">
      <c r="A28" s="231"/>
      <c r="B28" s="288" t="s">
        <v>41</v>
      </c>
      <c r="C28" s="231">
        <v>12733.893700000001</v>
      </c>
      <c r="D28" s="231">
        <v>18015.2369</v>
      </c>
      <c r="E28" s="231">
        <v>11037.858800000002</v>
      </c>
      <c r="F28" s="231">
        <v>6619.7764999999999</v>
      </c>
      <c r="G28" s="231">
        <v>2264.8068000000003</v>
      </c>
      <c r="H28" s="231">
        <v>1161.4354000000001</v>
      </c>
      <c r="I28" s="231">
        <v>955.55579999999986</v>
      </c>
      <c r="J28" s="231">
        <v>989.43179999999995</v>
      </c>
      <c r="K28" s="231">
        <v>915.03180000000009</v>
      </c>
      <c r="L28" s="231">
        <v>1578.8510999999999</v>
      </c>
      <c r="M28" s="231">
        <v>6833.5676999999996</v>
      </c>
      <c r="N28" s="231">
        <v>11036.6463</v>
      </c>
      <c r="O28" s="53">
        <f t="shared" si="0"/>
        <v>74142.092600000004</v>
      </c>
    </row>
    <row r="29" spans="1:15">
      <c r="A29" s="8"/>
      <c r="B29" s="9" t="s">
        <v>42</v>
      </c>
      <c r="C29" s="8">
        <v>169425.5509</v>
      </c>
      <c r="D29" s="8">
        <v>239309.80830000003</v>
      </c>
      <c r="E29" s="8">
        <v>174958.70160000003</v>
      </c>
      <c r="F29" s="8">
        <v>93457.835200000016</v>
      </c>
      <c r="G29" s="8">
        <v>52099.451599999993</v>
      </c>
      <c r="H29" s="8">
        <v>23630.823300000004</v>
      </c>
      <c r="I29" s="8">
        <v>18617.148999999998</v>
      </c>
      <c r="J29" s="8">
        <v>20105.617600000001</v>
      </c>
      <c r="K29" s="8">
        <v>17662.533899999999</v>
      </c>
      <c r="L29" s="8">
        <v>24122.5501</v>
      </c>
      <c r="M29" s="8">
        <v>80738.20120000001</v>
      </c>
      <c r="N29" s="8">
        <v>144400.06520000001</v>
      </c>
      <c r="O29" s="53">
        <f t="shared" si="0"/>
        <v>1058528.2879000001</v>
      </c>
    </row>
    <row r="30" spans="1:15">
      <c r="A30" s="231"/>
      <c r="B30" s="288"/>
      <c r="C30" s="231"/>
      <c r="D30" s="231"/>
      <c r="E30" s="231"/>
      <c r="F30" s="231"/>
      <c r="G30" s="231"/>
      <c r="H30" s="231"/>
      <c r="I30" s="231"/>
      <c r="J30" s="231"/>
      <c r="K30" s="231"/>
      <c r="L30" s="231"/>
      <c r="M30" s="231"/>
      <c r="N30" s="231"/>
      <c r="O30" s="53"/>
    </row>
    <row r="31" spans="1:15">
      <c r="A31" s="288" t="s">
        <v>43</v>
      </c>
      <c r="B31" s="288" t="s">
        <v>26</v>
      </c>
      <c r="C31" s="231">
        <v>34190.862999999998</v>
      </c>
      <c r="D31" s="231">
        <v>43752.990600000005</v>
      </c>
      <c r="E31" s="231">
        <v>26976.025400000002</v>
      </c>
      <c r="F31" s="231">
        <v>16990.488799999999</v>
      </c>
      <c r="G31" s="231">
        <v>10421.267</v>
      </c>
      <c r="H31" s="231">
        <v>7127.5019000000002</v>
      </c>
      <c r="I31" s="231">
        <v>7777.0660000000007</v>
      </c>
      <c r="J31" s="231">
        <v>7927.0825000000004</v>
      </c>
      <c r="K31" s="231">
        <v>7118.6032000000005</v>
      </c>
      <c r="L31" s="231">
        <v>9327.470800000001</v>
      </c>
      <c r="M31" s="231">
        <v>18963.625400000001</v>
      </c>
      <c r="N31" s="231">
        <v>36798.507799999999</v>
      </c>
      <c r="O31" s="53">
        <f t="shared" si="0"/>
        <v>227371.49239999999</v>
      </c>
    </row>
    <row r="32" spans="1:15">
      <c r="A32" s="231"/>
      <c r="B32" s="288" t="s">
        <v>27</v>
      </c>
      <c r="C32" s="231">
        <v>1814.0998</v>
      </c>
      <c r="D32" s="231">
        <v>2736.0976999999998</v>
      </c>
      <c r="E32" s="231">
        <v>1536.2083</v>
      </c>
      <c r="F32" s="231">
        <v>1167.7388000000001</v>
      </c>
      <c r="G32" s="231">
        <v>675.41240000000005</v>
      </c>
      <c r="H32" s="231">
        <v>584.83169999999996</v>
      </c>
      <c r="I32" s="231">
        <v>438.6635</v>
      </c>
      <c r="J32" s="231">
        <v>544.22440000000006</v>
      </c>
      <c r="K32" s="231">
        <v>513.3931</v>
      </c>
      <c r="L32" s="231">
        <v>571.57230000000004</v>
      </c>
      <c r="M32" s="231">
        <v>1233.5844</v>
      </c>
      <c r="N32" s="231">
        <v>1881.2065000000002</v>
      </c>
      <c r="O32" s="53">
        <f t="shared" si="0"/>
        <v>13697.0329</v>
      </c>
    </row>
    <row r="33" spans="1:15">
      <c r="A33" s="231"/>
      <c r="B33" s="294" t="s">
        <v>28</v>
      </c>
      <c r="C33" s="293">
        <v>51760.100200000001</v>
      </c>
      <c r="D33" s="293">
        <v>67587.818100000004</v>
      </c>
      <c r="E33" s="293">
        <v>49489.548699999999</v>
      </c>
      <c r="F33" s="293">
        <v>33147.326700000005</v>
      </c>
      <c r="G33" s="293">
        <v>22065.050599999999</v>
      </c>
      <c r="H33" s="293">
        <v>13685.7996</v>
      </c>
      <c r="I33" s="293">
        <v>12153.657999999999</v>
      </c>
      <c r="J33" s="293">
        <v>13086.9529</v>
      </c>
      <c r="K33" s="293">
        <v>13010.1558</v>
      </c>
      <c r="L33" s="293">
        <v>16567.899799999999</v>
      </c>
      <c r="M33" s="293">
        <v>29537.304400000005</v>
      </c>
      <c r="N33" s="293">
        <v>49847.385800000004</v>
      </c>
      <c r="O33" s="54">
        <f t="shared" si="0"/>
        <v>371939.00060000003</v>
      </c>
    </row>
    <row r="34" spans="1:15">
      <c r="A34" s="231"/>
      <c r="B34" s="288" t="s">
        <v>29</v>
      </c>
      <c r="C34" s="231">
        <v>46306.921000000002</v>
      </c>
      <c r="D34" s="231">
        <v>69260.863299999997</v>
      </c>
      <c r="E34" s="231">
        <v>35812.393299999996</v>
      </c>
      <c r="F34" s="231">
        <v>25836.8753</v>
      </c>
      <c r="G34" s="231">
        <v>13051.289500000001</v>
      </c>
      <c r="H34" s="231">
        <v>10110.337599999999</v>
      </c>
      <c r="I34" s="231">
        <v>8889.0352999999996</v>
      </c>
      <c r="J34" s="231">
        <v>9083.9182999999994</v>
      </c>
      <c r="K34" s="231">
        <v>8519.1592999999993</v>
      </c>
      <c r="L34" s="231">
        <v>9977.8973000000005</v>
      </c>
      <c r="M34" s="231">
        <v>29426.845300000001</v>
      </c>
      <c r="N34" s="231">
        <v>41388.150799999996</v>
      </c>
      <c r="O34" s="53">
        <f t="shared" si="0"/>
        <v>307663.6863</v>
      </c>
    </row>
    <row r="35" spans="1:15">
      <c r="A35" s="231"/>
      <c r="B35" s="288" t="s">
        <v>30</v>
      </c>
      <c r="C35" s="231">
        <v>6442.1689000000006</v>
      </c>
      <c r="D35" s="231">
        <v>8649.2430999999997</v>
      </c>
      <c r="E35" s="231">
        <v>7417.7003000000004</v>
      </c>
      <c r="F35" s="231">
        <v>3232.7952</v>
      </c>
      <c r="G35" s="231">
        <v>2256.1522</v>
      </c>
      <c r="H35" s="231">
        <v>537.97320000000002</v>
      </c>
      <c r="I35" s="231">
        <v>262.39</v>
      </c>
      <c r="J35" s="231">
        <v>363.64629999999994</v>
      </c>
      <c r="K35" s="231">
        <v>344.9119</v>
      </c>
      <c r="L35" s="231">
        <v>451.44730000000004</v>
      </c>
      <c r="M35" s="231">
        <v>1062.2206000000001</v>
      </c>
      <c r="N35" s="231">
        <v>2989.3446000000004</v>
      </c>
      <c r="O35" s="53">
        <f t="shared" si="0"/>
        <v>34009.993600000002</v>
      </c>
    </row>
    <row r="36" spans="1:15">
      <c r="A36" s="231"/>
      <c r="B36" s="288" t="s">
        <v>31</v>
      </c>
      <c r="C36" s="231">
        <v>30747.5131</v>
      </c>
      <c r="D36" s="231">
        <v>39259.414299999997</v>
      </c>
      <c r="E36" s="231">
        <v>41653.280699999996</v>
      </c>
      <c r="F36" s="231">
        <v>19215.277699999999</v>
      </c>
      <c r="G36" s="231">
        <v>16653.259900000001</v>
      </c>
      <c r="H36" s="231">
        <v>8604.3842999999997</v>
      </c>
      <c r="I36" s="231">
        <v>7410.1673000000001</v>
      </c>
      <c r="J36" s="231">
        <v>7751.4391000000005</v>
      </c>
      <c r="K36" s="231">
        <v>7033.1301000000003</v>
      </c>
      <c r="L36" s="231">
        <v>7494.4901</v>
      </c>
      <c r="M36" s="231">
        <v>11259.243699999999</v>
      </c>
      <c r="N36" s="231">
        <v>24713.103500000001</v>
      </c>
      <c r="O36" s="53">
        <f t="shared" si="0"/>
        <v>221794.70379999999</v>
      </c>
    </row>
    <row r="37" spans="1:15">
      <c r="A37" s="231"/>
      <c r="B37" s="288" t="s">
        <v>32</v>
      </c>
      <c r="C37" s="231">
        <v>16249.895400000001</v>
      </c>
      <c r="D37" s="231">
        <v>20933.480499999998</v>
      </c>
      <c r="E37" s="231">
        <v>17531.747299999999</v>
      </c>
      <c r="F37" s="231">
        <v>25465.6253</v>
      </c>
      <c r="G37" s="231">
        <v>6991.0604000000003</v>
      </c>
      <c r="H37" s="231">
        <v>3322.5010000000002</v>
      </c>
      <c r="I37" s="231">
        <v>2800.8946000000001</v>
      </c>
      <c r="J37" s="231">
        <v>3094.4609</v>
      </c>
      <c r="K37" s="231">
        <v>2888.9661999999998</v>
      </c>
      <c r="L37" s="231">
        <v>4114.6486999999997</v>
      </c>
      <c r="M37" s="231">
        <v>7522.1283000000003</v>
      </c>
      <c r="N37" s="231">
        <v>11858.1515</v>
      </c>
      <c r="O37" s="53">
        <f t="shared" si="0"/>
        <v>122773.5601</v>
      </c>
    </row>
    <row r="38" spans="1:15">
      <c r="A38" s="231"/>
      <c r="B38" s="288" t="s">
        <v>33</v>
      </c>
      <c r="C38" s="231">
        <v>1595.7248</v>
      </c>
      <c r="D38" s="231">
        <v>2098.7674999999999</v>
      </c>
      <c r="E38" s="231">
        <v>1565.41</v>
      </c>
      <c r="F38" s="231">
        <v>1196.7356</v>
      </c>
      <c r="G38" s="231">
        <v>812.88709999999992</v>
      </c>
      <c r="H38" s="231">
        <v>510.41759999999999</v>
      </c>
      <c r="I38" s="231">
        <v>459.45929999999998</v>
      </c>
      <c r="J38" s="231">
        <v>501.49209999999999</v>
      </c>
      <c r="K38" s="231">
        <v>694.81179999999995</v>
      </c>
      <c r="L38" s="231">
        <v>847.00800000000004</v>
      </c>
      <c r="M38" s="231">
        <v>1381.0257999999999</v>
      </c>
      <c r="N38" s="231">
        <v>1470.5784000000001</v>
      </c>
      <c r="O38" s="53">
        <f t="shared" si="0"/>
        <v>13134.317999999997</v>
      </c>
    </row>
    <row r="39" spans="1:15">
      <c r="A39" s="231"/>
      <c r="B39" s="288" t="s">
        <v>34</v>
      </c>
      <c r="C39" s="231">
        <v>7814.0483999999997</v>
      </c>
      <c r="D39" s="231">
        <v>9177.1460000000006</v>
      </c>
      <c r="E39" s="231">
        <v>6925.2481000000007</v>
      </c>
      <c r="F39" s="231">
        <v>4513.6332000000002</v>
      </c>
      <c r="G39" s="231">
        <v>2057.6202000000003</v>
      </c>
      <c r="H39" s="231">
        <v>1561.3362999999999</v>
      </c>
      <c r="I39" s="231">
        <v>1579.6206</v>
      </c>
      <c r="J39" s="231">
        <v>1535.5436999999999</v>
      </c>
      <c r="K39" s="231">
        <v>1336.5552</v>
      </c>
      <c r="L39" s="231">
        <v>1495.3204999999998</v>
      </c>
      <c r="M39" s="231">
        <v>4931.8468000000003</v>
      </c>
      <c r="N39" s="231">
        <v>6032.1711999999998</v>
      </c>
      <c r="O39" s="53">
        <f t="shared" si="0"/>
        <v>48960.090200000006</v>
      </c>
    </row>
    <row r="40" spans="1:15">
      <c r="A40" s="231"/>
      <c r="B40" s="288" t="s">
        <v>35</v>
      </c>
      <c r="C40" s="231">
        <v>1345.0852</v>
      </c>
      <c r="D40" s="231">
        <v>1924.7860000000001</v>
      </c>
      <c r="E40" s="231">
        <v>1111.1573000000001</v>
      </c>
      <c r="F40" s="231">
        <v>706.40419999999995</v>
      </c>
      <c r="G40" s="231">
        <v>398.83269999999999</v>
      </c>
      <c r="H40" s="231">
        <v>401.4196</v>
      </c>
      <c r="I40" s="231">
        <v>352.29730000000001</v>
      </c>
      <c r="J40" s="231">
        <v>393.38</v>
      </c>
      <c r="K40" s="231">
        <v>346.83429999999998</v>
      </c>
      <c r="L40" s="231">
        <v>368.07699999999994</v>
      </c>
      <c r="M40" s="231">
        <v>1163.9004</v>
      </c>
      <c r="N40" s="231">
        <v>1293.6552000000001</v>
      </c>
      <c r="O40" s="53">
        <f t="shared" si="0"/>
        <v>9805.8292000000001</v>
      </c>
    </row>
    <row r="41" spans="1:15">
      <c r="A41" s="231"/>
      <c r="B41" s="288" t="s">
        <v>36</v>
      </c>
      <c r="C41" s="231">
        <v>16828.300299999999</v>
      </c>
      <c r="D41" s="231">
        <v>23702.460999999999</v>
      </c>
      <c r="E41" s="231">
        <v>18566.262000000002</v>
      </c>
      <c r="F41" s="231">
        <v>10201.206300000002</v>
      </c>
      <c r="G41" s="231">
        <v>6189.2343000000001</v>
      </c>
      <c r="H41" s="231">
        <v>4692.8460999999998</v>
      </c>
      <c r="I41" s="231">
        <v>3389.0990999999999</v>
      </c>
      <c r="J41" s="231">
        <v>3826.2672999999995</v>
      </c>
      <c r="K41" s="231">
        <v>3429.3407000000002</v>
      </c>
      <c r="L41" s="231">
        <v>4113.6754000000001</v>
      </c>
      <c r="M41" s="231">
        <v>8658.0510999999988</v>
      </c>
      <c r="N41" s="231">
        <v>15380.1481</v>
      </c>
      <c r="O41" s="53">
        <f t="shared" si="0"/>
        <v>118976.89170000001</v>
      </c>
    </row>
    <row r="42" spans="1:15">
      <c r="A42" s="231"/>
      <c r="B42" s="288" t="s">
        <v>37</v>
      </c>
      <c r="C42" s="231">
        <v>2208</v>
      </c>
      <c r="D42" s="231">
        <v>2924.8</v>
      </c>
      <c r="E42" s="231">
        <v>1604.5</v>
      </c>
      <c r="F42" s="231">
        <v>1162.3</v>
      </c>
      <c r="G42" s="231">
        <v>509.9</v>
      </c>
      <c r="H42" s="231">
        <v>310.7</v>
      </c>
      <c r="I42" s="231">
        <v>634.29999999999995</v>
      </c>
      <c r="J42" s="231">
        <v>452.8</v>
      </c>
      <c r="K42" s="231">
        <v>419.6</v>
      </c>
      <c r="L42" s="231">
        <v>504.62759999999997</v>
      </c>
      <c r="M42" s="231">
        <v>1480.0879</v>
      </c>
      <c r="N42" s="231">
        <v>1922.1456999999998</v>
      </c>
      <c r="O42" s="53">
        <f t="shared" si="0"/>
        <v>14133.761199999999</v>
      </c>
    </row>
    <row r="43" spans="1:15">
      <c r="A43" s="231"/>
      <c r="B43" s="288" t="s">
        <v>38</v>
      </c>
      <c r="C43" s="231">
        <v>13177.637999999999</v>
      </c>
      <c r="D43" s="231">
        <v>14911.6859</v>
      </c>
      <c r="E43" s="231">
        <v>14865.3614</v>
      </c>
      <c r="F43" s="231">
        <v>8601.3592000000008</v>
      </c>
      <c r="G43" s="231">
        <v>6944.1896999999999</v>
      </c>
      <c r="H43" s="231">
        <v>4301.0803999999998</v>
      </c>
      <c r="I43" s="231">
        <v>3509.6878000000002</v>
      </c>
      <c r="J43" s="231">
        <v>3903.9866999999999</v>
      </c>
      <c r="K43" s="231">
        <v>3417.8022000000001</v>
      </c>
      <c r="L43" s="231">
        <v>3304.0889000000002</v>
      </c>
      <c r="M43" s="231">
        <v>5837.3971000000001</v>
      </c>
      <c r="N43" s="231">
        <v>11061.086500000001</v>
      </c>
      <c r="O43" s="53">
        <f t="shared" si="0"/>
        <v>93835.363800000006</v>
      </c>
    </row>
    <row r="44" spans="1:15">
      <c r="A44" s="231"/>
      <c r="B44" s="288" t="s">
        <v>39</v>
      </c>
      <c r="C44" s="231">
        <v>22996.918600000001</v>
      </c>
      <c r="D44" s="231">
        <v>32230.021000000001</v>
      </c>
      <c r="E44" s="231">
        <v>25895.0314</v>
      </c>
      <c r="F44" s="231">
        <v>16143.633599999999</v>
      </c>
      <c r="G44" s="231">
        <v>12928.442800000001</v>
      </c>
      <c r="H44" s="231">
        <v>8624.2998000000007</v>
      </c>
      <c r="I44" s="231">
        <v>7874.1336000000001</v>
      </c>
      <c r="J44" s="231">
        <v>8023.8661000000011</v>
      </c>
      <c r="K44" s="231">
        <v>7542.3408000000009</v>
      </c>
      <c r="L44" s="231">
        <v>8341.6190000000006</v>
      </c>
      <c r="M44" s="231">
        <v>6362.6106999999993</v>
      </c>
      <c r="N44" s="231">
        <v>27703.224399999999</v>
      </c>
      <c r="O44" s="53">
        <f t="shared" si="0"/>
        <v>184666.14180000001</v>
      </c>
    </row>
    <row r="45" spans="1:15">
      <c r="A45" s="231"/>
      <c r="B45" s="288" t="s">
        <v>40</v>
      </c>
      <c r="C45" s="231">
        <v>6435.1928000000007</v>
      </c>
      <c r="D45" s="231">
        <v>8717.1980999999996</v>
      </c>
      <c r="E45" s="231">
        <v>6222.7637000000004</v>
      </c>
      <c r="F45" s="231">
        <v>4250.9529999999995</v>
      </c>
      <c r="G45" s="231">
        <v>1119.6219999999998</v>
      </c>
      <c r="H45" s="231">
        <v>365.24580000000003</v>
      </c>
      <c r="I45" s="231">
        <v>1653.0993000000001</v>
      </c>
      <c r="J45" s="231">
        <v>297.62180000000001</v>
      </c>
      <c r="K45" s="231">
        <v>329.60299999999995</v>
      </c>
      <c r="L45" s="231">
        <v>422.3426</v>
      </c>
      <c r="M45" s="231">
        <v>1215.6431</v>
      </c>
      <c r="N45" s="231">
        <v>2593.9755</v>
      </c>
      <c r="O45" s="53">
        <f t="shared" si="0"/>
        <v>33623.260700000006</v>
      </c>
    </row>
    <row r="46" spans="1:15">
      <c r="A46" s="231"/>
      <c r="B46" s="288" t="s">
        <v>41</v>
      </c>
      <c r="C46" s="231">
        <v>30935.316700000003</v>
      </c>
      <c r="D46" s="231">
        <v>40141.509400000003</v>
      </c>
      <c r="E46" s="231">
        <v>26112.786199999999</v>
      </c>
      <c r="F46" s="231">
        <v>17696.627400000001</v>
      </c>
      <c r="G46" s="231">
        <v>9546.1411000000007</v>
      </c>
      <c r="H46" s="231">
        <v>7630.1451999999999</v>
      </c>
      <c r="I46" s="231">
        <v>6835.8956000000007</v>
      </c>
      <c r="J46" s="231">
        <v>13127.187399999999</v>
      </c>
      <c r="K46" s="231">
        <v>7205.8006000000005</v>
      </c>
      <c r="L46" s="231">
        <v>7822.1484</v>
      </c>
      <c r="M46" s="231">
        <v>18031.415700000001</v>
      </c>
      <c r="N46" s="231">
        <v>25450.335899999998</v>
      </c>
      <c r="O46" s="53">
        <f t="shared" si="0"/>
        <v>210535.30960000001</v>
      </c>
    </row>
    <row r="47" spans="1:15">
      <c r="A47" s="8"/>
      <c r="B47" s="9" t="s">
        <v>42</v>
      </c>
      <c r="C47" s="8">
        <v>290847.78619999997</v>
      </c>
      <c r="D47" s="8">
        <v>388008.28249999991</v>
      </c>
      <c r="E47" s="8">
        <v>283285.42409999995</v>
      </c>
      <c r="F47" s="8">
        <v>189528.9803</v>
      </c>
      <c r="G47" s="8">
        <v>112620.3619</v>
      </c>
      <c r="H47" s="8">
        <v>72370.820100000026</v>
      </c>
      <c r="I47" s="8">
        <v>66019.467300000018</v>
      </c>
      <c r="J47" s="8">
        <v>73913.869500000015</v>
      </c>
      <c r="K47" s="8">
        <v>64151.008199999989</v>
      </c>
      <c r="L47" s="8">
        <v>75724.333699999974</v>
      </c>
      <c r="M47" s="8">
        <v>148066.93070000003</v>
      </c>
      <c r="N47" s="8">
        <v>262383.17139999999</v>
      </c>
      <c r="O47" s="53">
        <f t="shared" si="0"/>
        <v>2026920.4358999999</v>
      </c>
    </row>
    <row r="48" spans="1:15">
      <c r="A48" s="231"/>
      <c r="B48" s="288"/>
      <c r="C48" s="231"/>
      <c r="D48" s="231"/>
      <c r="E48" s="231"/>
      <c r="F48" s="231"/>
      <c r="G48" s="231"/>
      <c r="H48" s="231"/>
      <c r="I48" s="231"/>
      <c r="J48" s="231"/>
      <c r="K48" s="231"/>
      <c r="L48" s="231"/>
      <c r="M48" s="231"/>
      <c r="N48" s="231"/>
      <c r="O48" s="53"/>
    </row>
    <row r="49" spans="1:15">
      <c r="A49" s="288" t="s">
        <v>44</v>
      </c>
      <c r="B49" s="288" t="s">
        <v>26</v>
      </c>
      <c r="C49" s="231">
        <v>22127.7376</v>
      </c>
      <c r="D49" s="231">
        <v>30702.296399999999</v>
      </c>
      <c r="E49" s="231">
        <v>22368.4467</v>
      </c>
      <c r="F49" s="231">
        <v>19539.6698</v>
      </c>
      <c r="G49" s="231">
        <v>18523.706599999998</v>
      </c>
      <c r="H49" s="231">
        <v>9184.1939999999995</v>
      </c>
      <c r="I49" s="231">
        <v>8076.8616000000002</v>
      </c>
      <c r="J49" s="231">
        <v>9352.3124000000007</v>
      </c>
      <c r="K49" s="231">
        <v>8515.8482000000004</v>
      </c>
      <c r="L49" s="231">
        <v>9176.9673000000003</v>
      </c>
      <c r="M49" s="231">
        <v>10716.8722</v>
      </c>
      <c r="N49" s="231">
        <v>12244.6216</v>
      </c>
      <c r="O49" s="53">
        <f t="shared" si="0"/>
        <v>180529.53440000003</v>
      </c>
    </row>
    <row r="50" spans="1:15">
      <c r="A50" s="231"/>
      <c r="B50" s="288" t="s">
        <v>27</v>
      </c>
      <c r="C50" s="231">
        <v>9976.2000000000007</v>
      </c>
      <c r="D50" s="231">
        <v>12394.3</v>
      </c>
      <c r="E50" s="231">
        <v>6469.3</v>
      </c>
      <c r="F50" s="231">
        <v>5571.2</v>
      </c>
      <c r="G50" s="231">
        <v>2677</v>
      </c>
      <c r="H50" s="231">
        <v>882</v>
      </c>
      <c r="I50" s="231">
        <v>1664</v>
      </c>
      <c r="J50" s="231">
        <v>1218</v>
      </c>
      <c r="K50" s="231">
        <v>1244</v>
      </c>
      <c r="L50" s="231">
        <v>2055.9</v>
      </c>
      <c r="M50" s="231">
        <v>7643.2</v>
      </c>
      <c r="N50" s="231">
        <v>8652.2999999999993</v>
      </c>
      <c r="O50" s="53">
        <f t="shared" si="0"/>
        <v>60447.399999999994</v>
      </c>
    </row>
    <row r="51" spans="1:15">
      <c r="A51" s="231"/>
      <c r="B51" s="294" t="s">
        <v>28</v>
      </c>
      <c r="C51" s="293">
        <v>16787.981599999999</v>
      </c>
      <c r="D51" s="293">
        <v>25344.907999999999</v>
      </c>
      <c r="E51" s="293">
        <v>21659.790199999999</v>
      </c>
      <c r="F51" s="293">
        <v>24679.239699999998</v>
      </c>
      <c r="G51" s="293">
        <v>27946.099000000002</v>
      </c>
      <c r="H51" s="293">
        <v>23580.583299999998</v>
      </c>
      <c r="I51" s="293">
        <v>19905.0713</v>
      </c>
      <c r="J51" s="293">
        <v>18657.493300000002</v>
      </c>
      <c r="K51" s="293">
        <v>32167.5242</v>
      </c>
      <c r="L51" s="293">
        <v>20634.1633</v>
      </c>
      <c r="M51" s="293">
        <v>17678.968099999998</v>
      </c>
      <c r="N51" s="293">
        <v>24759.414799999999</v>
      </c>
      <c r="O51" s="54">
        <f t="shared" si="0"/>
        <v>273801.23680000007</v>
      </c>
    </row>
    <row r="52" spans="1:15">
      <c r="A52" s="231"/>
      <c r="B52" s="288" t="s">
        <v>29</v>
      </c>
      <c r="C52" s="231">
        <v>21395.867299999998</v>
      </c>
      <c r="D52" s="231">
        <v>27350.423599999998</v>
      </c>
      <c r="E52" s="231">
        <v>23328.290799999999</v>
      </c>
      <c r="F52" s="231">
        <v>22960.2173</v>
      </c>
      <c r="G52" s="231">
        <v>20174.933000000001</v>
      </c>
      <c r="H52" s="231">
        <v>20561.0681</v>
      </c>
      <c r="I52" s="231">
        <v>36742.521399999998</v>
      </c>
      <c r="J52" s="231">
        <v>28833.1384</v>
      </c>
      <c r="K52" s="231">
        <v>25571.3125</v>
      </c>
      <c r="L52" s="231">
        <v>28756.161599999999</v>
      </c>
      <c r="M52" s="231">
        <v>35663.700799999999</v>
      </c>
      <c r="N52" s="231">
        <v>38000.813800000004</v>
      </c>
      <c r="O52" s="53">
        <f t="shared" si="0"/>
        <v>329338.4486</v>
      </c>
    </row>
    <row r="53" spans="1:15">
      <c r="A53" s="231"/>
      <c r="B53" s="288" t="s">
        <v>30</v>
      </c>
      <c r="C53" s="231">
        <v>2729.8</v>
      </c>
      <c r="D53" s="231">
        <v>3182.4</v>
      </c>
      <c r="E53" s="231">
        <v>3227.1</v>
      </c>
      <c r="F53" s="231">
        <v>1868</v>
      </c>
      <c r="G53" s="231">
        <v>2358.6999999999998</v>
      </c>
      <c r="H53" s="231">
        <v>3974.9</v>
      </c>
      <c r="I53" s="231">
        <v>1992.1</v>
      </c>
      <c r="J53" s="231">
        <v>1961.3598999999999</v>
      </c>
      <c r="K53" s="231">
        <v>1551.8239999999998</v>
      </c>
      <c r="L53" s="231">
        <v>1891.2712999999999</v>
      </c>
      <c r="M53" s="231">
        <v>5136.7916000000005</v>
      </c>
      <c r="N53" s="231">
        <v>56409.970399999998</v>
      </c>
      <c r="O53" s="53">
        <f t="shared" si="0"/>
        <v>86284.217199999999</v>
      </c>
    </row>
    <row r="54" spans="1:15">
      <c r="A54" s="231"/>
      <c r="B54" s="288" t="s">
        <v>31</v>
      </c>
      <c r="C54" s="231">
        <v>55845</v>
      </c>
      <c r="D54" s="231">
        <v>56797</v>
      </c>
      <c r="E54" s="231">
        <v>50323</v>
      </c>
      <c r="F54" s="231">
        <v>52291</v>
      </c>
      <c r="G54" s="231">
        <v>49368</v>
      </c>
      <c r="H54" s="231">
        <v>50417.643100000001</v>
      </c>
      <c r="I54" s="231">
        <v>49030.007799999999</v>
      </c>
      <c r="J54" s="231">
        <v>51621.447899999999</v>
      </c>
      <c r="K54" s="231">
        <v>49898.224000000002</v>
      </c>
      <c r="L54" s="231">
        <v>49939.695299999999</v>
      </c>
      <c r="M54" s="231">
        <v>49106.676500000001</v>
      </c>
      <c r="N54" s="231">
        <v>59085.820299999999</v>
      </c>
      <c r="O54" s="53">
        <f t="shared" si="0"/>
        <v>623723.51490000007</v>
      </c>
    </row>
    <row r="55" spans="1:15">
      <c r="A55" s="231"/>
      <c r="B55" s="288" t="s">
        <v>32</v>
      </c>
      <c r="C55" s="231">
        <v>26319.864699999998</v>
      </c>
      <c r="D55" s="231">
        <v>24956.366900000001</v>
      </c>
      <c r="E55" s="231">
        <v>14331.860500000001</v>
      </c>
      <c r="F55" s="231">
        <v>12182.406500000001</v>
      </c>
      <c r="G55" s="231">
        <v>8462.9982</v>
      </c>
      <c r="H55" s="231">
        <v>6257.2178999999996</v>
      </c>
      <c r="I55" s="231">
        <v>5444.8568999999998</v>
      </c>
      <c r="J55" s="231">
        <v>5999.8194999999996</v>
      </c>
      <c r="K55" s="231">
        <v>5768.9449999999997</v>
      </c>
      <c r="L55" s="231">
        <v>10682.946400000001</v>
      </c>
      <c r="M55" s="231">
        <v>18424.837</v>
      </c>
      <c r="N55" s="231">
        <v>28075.8652</v>
      </c>
      <c r="O55" s="53">
        <f t="shared" si="0"/>
        <v>166907.98469999997</v>
      </c>
    </row>
    <row r="56" spans="1:15">
      <c r="A56" s="231"/>
      <c r="B56" s="288" t="s">
        <v>33</v>
      </c>
      <c r="C56" s="288" t="s">
        <v>45</v>
      </c>
      <c r="D56" s="288" t="s">
        <v>45</v>
      </c>
      <c r="E56" s="288" t="s">
        <v>45</v>
      </c>
      <c r="F56" s="288" t="s">
        <v>45</v>
      </c>
      <c r="G56" s="288" t="s">
        <v>45</v>
      </c>
      <c r="H56" s="288" t="s">
        <v>45</v>
      </c>
      <c r="I56" s="288" t="s">
        <v>45</v>
      </c>
      <c r="J56" s="288" t="s">
        <v>45</v>
      </c>
      <c r="K56" s="288" t="s">
        <v>45</v>
      </c>
      <c r="L56" s="288" t="s">
        <v>45</v>
      </c>
      <c r="M56" s="288" t="s">
        <v>45</v>
      </c>
      <c r="N56" s="288" t="s">
        <v>45</v>
      </c>
      <c r="O56" s="53">
        <f t="shared" si="0"/>
        <v>0</v>
      </c>
    </row>
    <row r="57" spans="1:15">
      <c r="A57" s="231"/>
      <c r="B57" s="288" t="s">
        <v>34</v>
      </c>
      <c r="C57" s="231">
        <v>5337</v>
      </c>
      <c r="D57" s="231">
        <v>4824.6000000000004</v>
      </c>
      <c r="E57" s="231">
        <v>3147.5</v>
      </c>
      <c r="F57" s="231">
        <v>2208.5358000000001</v>
      </c>
      <c r="G57" s="231">
        <v>4397.7228999999998</v>
      </c>
      <c r="H57" s="231">
        <v>1217.7759000000001</v>
      </c>
      <c r="I57" s="231">
        <v>1264.2923000000001</v>
      </c>
      <c r="J57" s="231">
        <v>637.44719999999995</v>
      </c>
      <c r="K57" s="288" t="s">
        <v>45</v>
      </c>
      <c r="L57" s="288" t="s">
        <v>45</v>
      </c>
      <c r="M57" s="288" t="s">
        <v>45</v>
      </c>
      <c r="N57" s="288" t="s">
        <v>45</v>
      </c>
      <c r="O57" s="53">
        <f t="shared" si="0"/>
        <v>23034.874100000001</v>
      </c>
    </row>
    <row r="58" spans="1:15">
      <c r="A58" s="231"/>
      <c r="B58" s="288" t="s">
        <v>35</v>
      </c>
      <c r="C58" s="231">
        <v>3519</v>
      </c>
      <c r="D58" s="231">
        <v>3825</v>
      </c>
      <c r="E58" s="231">
        <v>1450</v>
      </c>
      <c r="F58" s="231">
        <v>1160</v>
      </c>
      <c r="G58" s="231">
        <v>9</v>
      </c>
      <c r="H58" s="231">
        <v>5.0553999999999997</v>
      </c>
      <c r="I58" s="231">
        <v>1.1927000000000001</v>
      </c>
      <c r="J58" s="231">
        <v>1.9277</v>
      </c>
      <c r="K58" s="231">
        <v>1.1927000000000001</v>
      </c>
      <c r="L58" s="231">
        <v>44</v>
      </c>
      <c r="M58" s="231">
        <v>2031.7855</v>
      </c>
      <c r="N58" s="231">
        <v>2410.1174000000001</v>
      </c>
      <c r="O58" s="53">
        <f t="shared" si="0"/>
        <v>14458.271399999998</v>
      </c>
    </row>
    <row r="59" spans="1:15">
      <c r="A59" s="231"/>
      <c r="B59" s="288" t="s">
        <v>36</v>
      </c>
      <c r="C59" s="231">
        <v>32360</v>
      </c>
      <c r="D59" s="231">
        <v>34898.400000000001</v>
      </c>
      <c r="E59" s="231">
        <v>31323.3</v>
      </c>
      <c r="F59" s="231">
        <v>26127.485099999998</v>
      </c>
      <c r="G59" s="231">
        <v>23701.521800000002</v>
      </c>
      <c r="H59" s="231">
        <v>16572.889500000001</v>
      </c>
      <c r="I59" s="231">
        <v>13692.863300000001</v>
      </c>
      <c r="J59" s="231">
        <v>16136.7989</v>
      </c>
      <c r="K59" s="231">
        <v>14632.4784</v>
      </c>
      <c r="L59" s="231">
        <v>16239.564699999999</v>
      </c>
      <c r="M59" s="231">
        <v>19253.686999999998</v>
      </c>
      <c r="N59" s="231">
        <v>21676.990600000001</v>
      </c>
      <c r="O59" s="53">
        <f t="shared" si="0"/>
        <v>266615.97929999995</v>
      </c>
    </row>
    <row r="60" spans="1:15">
      <c r="A60" s="231"/>
      <c r="B60" s="288" t="s">
        <v>37</v>
      </c>
      <c r="C60" s="288" t="s">
        <v>45</v>
      </c>
      <c r="D60" s="288" t="s">
        <v>45</v>
      </c>
      <c r="E60" s="288" t="s">
        <v>45</v>
      </c>
      <c r="F60" s="288" t="s">
        <v>45</v>
      </c>
      <c r="G60" s="288" t="s">
        <v>45</v>
      </c>
      <c r="H60" s="288" t="s">
        <v>45</v>
      </c>
      <c r="I60" s="288" t="s">
        <v>45</v>
      </c>
      <c r="J60" s="288" t="s">
        <v>45</v>
      </c>
      <c r="K60" s="288" t="s">
        <v>45</v>
      </c>
      <c r="L60" s="288" t="s">
        <v>45</v>
      </c>
      <c r="M60" s="288" t="s">
        <v>45</v>
      </c>
      <c r="N60" s="288" t="s">
        <v>45</v>
      </c>
      <c r="O60" s="53">
        <f t="shared" si="0"/>
        <v>0</v>
      </c>
    </row>
    <row r="61" spans="1:15">
      <c r="A61" s="231"/>
      <c r="B61" s="288" t="s">
        <v>38</v>
      </c>
      <c r="C61" s="231">
        <v>7868.1211000000003</v>
      </c>
      <c r="D61" s="231">
        <v>9972.3343999999997</v>
      </c>
      <c r="E61" s="231">
        <v>600.64890000000014</v>
      </c>
      <c r="F61" s="231">
        <v>6799.0817999999999</v>
      </c>
      <c r="G61" s="231">
        <v>7006.3402999999998</v>
      </c>
      <c r="H61" s="231">
        <v>5600.1410999999998</v>
      </c>
      <c r="I61" s="231">
        <v>5695.6419000000005</v>
      </c>
      <c r="J61" s="231">
        <v>6554.3890000000001</v>
      </c>
      <c r="K61" s="231">
        <v>6188.5787</v>
      </c>
      <c r="L61" s="231">
        <v>5637.0023000000001</v>
      </c>
      <c r="M61" s="231">
        <v>6114.0892000000003</v>
      </c>
      <c r="N61" s="231">
        <v>8181.7435000000005</v>
      </c>
      <c r="O61" s="53">
        <f t="shared" si="0"/>
        <v>76218.112200000003</v>
      </c>
    </row>
    <row r="62" spans="1:15">
      <c r="A62" s="231"/>
      <c r="B62" s="288" t="s">
        <v>39</v>
      </c>
      <c r="C62" s="231">
        <v>18883.3</v>
      </c>
      <c r="D62" s="231">
        <v>29081.599999999999</v>
      </c>
      <c r="E62" s="231">
        <v>17345.726900000001</v>
      </c>
      <c r="F62" s="231">
        <v>15817.371299999999</v>
      </c>
      <c r="G62" s="231">
        <v>3551.0072</v>
      </c>
      <c r="H62" s="231">
        <v>14506.7845</v>
      </c>
      <c r="I62" s="231">
        <v>8686.8384000000005</v>
      </c>
      <c r="J62" s="231">
        <v>677.8733000000002</v>
      </c>
      <c r="K62" s="231">
        <v>4260.6578</v>
      </c>
      <c r="L62" s="231">
        <v>5445.2424000000001</v>
      </c>
      <c r="M62" s="231">
        <v>90.631799999999998</v>
      </c>
      <c r="N62" s="231">
        <v>12483.7767</v>
      </c>
      <c r="O62" s="53">
        <f t="shared" si="0"/>
        <v>130830.8103</v>
      </c>
    </row>
    <row r="63" spans="1:15">
      <c r="A63" s="231"/>
      <c r="B63" s="288" t="s">
        <v>40</v>
      </c>
      <c r="C63" s="231">
        <v>1036.7462</v>
      </c>
      <c r="D63" s="231">
        <v>1207.4389000000001</v>
      </c>
      <c r="E63" s="231">
        <v>1328.5671</v>
      </c>
      <c r="F63" s="231">
        <v>1514.8978</v>
      </c>
      <c r="G63" s="231">
        <v>1321.0132000000001</v>
      </c>
      <c r="H63" s="231">
        <v>1294.2430999999999</v>
      </c>
      <c r="I63" s="231">
        <v>1489.453</v>
      </c>
      <c r="J63" s="231">
        <v>1465.0682999999999</v>
      </c>
      <c r="K63" s="231">
        <v>1561.1492000000001</v>
      </c>
      <c r="L63" s="231">
        <v>1564.0435</v>
      </c>
      <c r="M63" s="231">
        <v>3076.1782000000003</v>
      </c>
      <c r="N63" s="231">
        <v>3177.7568999999999</v>
      </c>
      <c r="O63" s="53">
        <f t="shared" si="0"/>
        <v>20036.555399999997</v>
      </c>
    </row>
    <row r="64" spans="1:15">
      <c r="A64" s="231"/>
      <c r="B64" s="288" t="s">
        <v>41</v>
      </c>
      <c r="C64" s="231">
        <v>43797.779699999999</v>
      </c>
      <c r="D64" s="231">
        <v>46021.165799999995</v>
      </c>
      <c r="E64" s="231">
        <v>54528.160499999998</v>
      </c>
      <c r="F64" s="231">
        <v>50006.5556</v>
      </c>
      <c r="G64" s="231">
        <v>46293.161399999997</v>
      </c>
      <c r="H64" s="231">
        <v>46867.215199999999</v>
      </c>
      <c r="I64" s="231">
        <v>36732.061399999999</v>
      </c>
      <c r="J64" s="231">
        <v>43584.335599999999</v>
      </c>
      <c r="K64" s="231">
        <v>34741.228499999997</v>
      </c>
      <c r="L64" s="231">
        <v>33711.316400000003</v>
      </c>
      <c r="M64" s="231">
        <v>26938.501499999998</v>
      </c>
      <c r="N64" s="231">
        <v>50087.713900000002</v>
      </c>
      <c r="O64" s="53">
        <f t="shared" si="0"/>
        <v>513309.19549999991</v>
      </c>
    </row>
    <row r="65" spans="1:15">
      <c r="A65" s="8"/>
      <c r="B65" s="9" t="s">
        <v>42</v>
      </c>
      <c r="C65" s="8">
        <v>267984.3982</v>
      </c>
      <c r="D65" s="8">
        <v>310558.234</v>
      </c>
      <c r="E65" s="8">
        <v>251431.69159999999</v>
      </c>
      <c r="F65" s="8">
        <v>242725.66070000001</v>
      </c>
      <c r="G65" s="8">
        <v>215791.20360000001</v>
      </c>
      <c r="H65" s="8">
        <v>200921.71110000001</v>
      </c>
      <c r="I65" s="8">
        <v>190417.76199999999</v>
      </c>
      <c r="J65" s="8">
        <v>186701.41139999998</v>
      </c>
      <c r="K65" s="8">
        <v>186102.9632</v>
      </c>
      <c r="L65" s="8">
        <v>185778.2745</v>
      </c>
      <c r="M65" s="8">
        <v>201875.91940000001</v>
      </c>
      <c r="N65" s="8">
        <v>325246.90509999997</v>
      </c>
      <c r="O65" s="53">
        <f t="shared" si="0"/>
        <v>2765536.1348000001</v>
      </c>
    </row>
    <row r="66" spans="1:15">
      <c r="A66" s="231"/>
      <c r="B66" s="288"/>
      <c r="C66" s="231"/>
      <c r="D66" s="231"/>
      <c r="E66" s="231"/>
      <c r="F66" s="231"/>
      <c r="G66" s="231"/>
      <c r="H66" s="231"/>
      <c r="I66" s="231"/>
      <c r="J66" s="231"/>
      <c r="K66" s="231"/>
      <c r="L66" s="231"/>
      <c r="M66" s="231"/>
      <c r="N66" s="231"/>
      <c r="O66" s="53"/>
    </row>
    <row r="67" spans="1:15">
      <c r="A67" s="288" t="s">
        <v>46</v>
      </c>
      <c r="B67" s="288" t="s">
        <v>26</v>
      </c>
      <c r="C67" s="231">
        <v>80.400000000000006</v>
      </c>
      <c r="D67" s="231">
        <v>120.9</v>
      </c>
      <c r="E67" s="231">
        <v>107.8</v>
      </c>
      <c r="F67" s="231">
        <v>54.2</v>
      </c>
      <c r="G67" s="231">
        <v>24.9</v>
      </c>
      <c r="H67" s="231">
        <v>14.9</v>
      </c>
      <c r="I67" s="231">
        <v>16.7</v>
      </c>
      <c r="J67" s="231">
        <v>5.5</v>
      </c>
      <c r="K67" s="231">
        <v>4.8</v>
      </c>
      <c r="L67" s="231">
        <v>10</v>
      </c>
      <c r="M67" s="231">
        <v>35.700000000000003</v>
      </c>
      <c r="N67" s="231">
        <v>82</v>
      </c>
      <c r="O67" s="53">
        <f t="shared" si="0"/>
        <v>557.79999999999995</v>
      </c>
    </row>
    <row r="68" spans="1:15">
      <c r="A68" s="231"/>
      <c r="B68" s="288" t="s">
        <v>27</v>
      </c>
      <c r="C68" s="288" t="s">
        <v>45</v>
      </c>
      <c r="D68" s="288" t="s">
        <v>45</v>
      </c>
      <c r="E68" s="288" t="s">
        <v>45</v>
      </c>
      <c r="F68" s="288" t="s">
        <v>45</v>
      </c>
      <c r="G68" s="288" t="s">
        <v>45</v>
      </c>
      <c r="H68" s="288" t="s">
        <v>45</v>
      </c>
      <c r="I68" s="288" t="s">
        <v>45</v>
      </c>
      <c r="J68" s="288" t="s">
        <v>45</v>
      </c>
      <c r="K68" s="288" t="s">
        <v>45</v>
      </c>
      <c r="L68" s="288" t="s">
        <v>45</v>
      </c>
      <c r="M68" s="288" t="s">
        <v>45</v>
      </c>
      <c r="N68" s="288" t="s">
        <v>45</v>
      </c>
      <c r="O68" s="53">
        <f t="shared" si="0"/>
        <v>0</v>
      </c>
    </row>
    <row r="69" spans="1:15">
      <c r="A69" s="231"/>
      <c r="B69" s="294" t="s">
        <v>28</v>
      </c>
      <c r="C69" s="293">
        <v>4289.3</v>
      </c>
      <c r="D69" s="293">
        <v>5811.8</v>
      </c>
      <c r="E69" s="293">
        <v>3421</v>
      </c>
      <c r="F69" s="293">
        <v>3012.4</v>
      </c>
      <c r="G69" s="293">
        <v>2253.6120000000001</v>
      </c>
      <c r="H69" s="293">
        <v>1534.1119999999999</v>
      </c>
      <c r="I69" s="293">
        <v>1315.3229000000001</v>
      </c>
      <c r="J69" s="293">
        <v>1096.2036000000001</v>
      </c>
      <c r="K69" s="293">
        <v>1436.152</v>
      </c>
      <c r="L69" s="293">
        <v>2212.6046000000001</v>
      </c>
      <c r="M69" s="293">
        <v>294.0634</v>
      </c>
      <c r="N69" s="293">
        <v>10442.449299999998</v>
      </c>
      <c r="O69" s="54">
        <f t="shared" si="0"/>
        <v>37119.019800000002</v>
      </c>
    </row>
    <row r="70" spans="1:15">
      <c r="A70" s="231"/>
      <c r="B70" s="288" t="s">
        <v>29</v>
      </c>
      <c r="C70" s="231">
        <v>504.5</v>
      </c>
      <c r="D70" s="231">
        <v>700.2</v>
      </c>
      <c r="E70" s="231">
        <v>483.7</v>
      </c>
      <c r="F70" s="231">
        <v>302.8</v>
      </c>
      <c r="G70" s="231">
        <v>139.80000000000001</v>
      </c>
      <c r="H70" s="231">
        <v>141.1</v>
      </c>
      <c r="I70" s="231">
        <v>78.7</v>
      </c>
      <c r="J70" s="231">
        <v>94.2</v>
      </c>
      <c r="K70" s="231">
        <v>67.3</v>
      </c>
      <c r="L70" s="231">
        <v>98.5</v>
      </c>
      <c r="M70" s="231">
        <v>284.7</v>
      </c>
      <c r="N70" s="231">
        <v>477.6</v>
      </c>
      <c r="O70" s="53">
        <f t="shared" si="0"/>
        <v>3373.0999999999995</v>
      </c>
    </row>
    <row r="71" spans="1:15">
      <c r="A71" s="231"/>
      <c r="B71" s="288" t="s">
        <v>30</v>
      </c>
      <c r="C71" s="288" t="s">
        <v>45</v>
      </c>
      <c r="D71" s="288" t="s">
        <v>45</v>
      </c>
      <c r="E71" s="288" t="s">
        <v>45</v>
      </c>
      <c r="F71" s="288" t="s">
        <v>45</v>
      </c>
      <c r="G71" s="288" t="s">
        <v>45</v>
      </c>
      <c r="H71" s="288" t="s">
        <v>45</v>
      </c>
      <c r="I71" s="288" t="s">
        <v>45</v>
      </c>
      <c r="J71" s="288" t="s">
        <v>45</v>
      </c>
      <c r="K71" s="288" t="s">
        <v>45</v>
      </c>
      <c r="L71" s="288" t="s">
        <v>45</v>
      </c>
      <c r="M71" s="288" t="s">
        <v>45</v>
      </c>
      <c r="N71" s="288" t="s">
        <v>45</v>
      </c>
      <c r="O71" s="53">
        <f t="shared" si="0"/>
        <v>0</v>
      </c>
    </row>
    <row r="72" spans="1:15">
      <c r="A72" s="231"/>
      <c r="B72" s="288" t="s">
        <v>31</v>
      </c>
      <c r="C72" s="231">
        <v>850.1</v>
      </c>
      <c r="D72" s="231">
        <v>1042.7</v>
      </c>
      <c r="E72" s="231">
        <v>1318.9</v>
      </c>
      <c r="F72" s="231">
        <v>786.2</v>
      </c>
      <c r="G72" s="231">
        <v>388.60239999999999</v>
      </c>
      <c r="H72" s="231">
        <v>410.07350000000002</v>
      </c>
      <c r="I72" s="231">
        <v>289.81060000000002</v>
      </c>
      <c r="J72" s="231">
        <v>374.50650000000002</v>
      </c>
      <c r="K72" s="231">
        <v>295.90539999999999</v>
      </c>
      <c r="L72" s="231">
        <v>398.4289</v>
      </c>
      <c r="M72" s="231">
        <v>512.54480000000001</v>
      </c>
      <c r="N72" s="231">
        <v>910.01869999999997</v>
      </c>
      <c r="O72" s="53">
        <f t="shared" si="0"/>
        <v>7577.7907999999998</v>
      </c>
    </row>
    <row r="73" spans="1:15">
      <c r="A73" s="231"/>
      <c r="B73" s="288" t="s">
        <v>32</v>
      </c>
      <c r="C73" s="288" t="s">
        <v>45</v>
      </c>
      <c r="D73" s="288" t="s">
        <v>45</v>
      </c>
      <c r="E73" s="288" t="s">
        <v>45</v>
      </c>
      <c r="F73" s="288" t="s">
        <v>45</v>
      </c>
      <c r="G73" s="288" t="s">
        <v>45</v>
      </c>
      <c r="H73" s="288" t="s">
        <v>45</v>
      </c>
      <c r="I73" s="288" t="s">
        <v>45</v>
      </c>
      <c r="J73" s="288" t="s">
        <v>45</v>
      </c>
      <c r="K73" s="288" t="s">
        <v>45</v>
      </c>
      <c r="L73" s="288" t="s">
        <v>45</v>
      </c>
      <c r="M73" s="288" t="s">
        <v>45</v>
      </c>
      <c r="N73" s="288" t="s">
        <v>45</v>
      </c>
      <c r="O73" s="53">
        <f t="shared" si="0"/>
        <v>0</v>
      </c>
    </row>
    <row r="74" spans="1:15">
      <c r="A74" s="231"/>
      <c r="B74" s="288" t="s">
        <v>33</v>
      </c>
      <c r="C74" s="288" t="s">
        <v>45</v>
      </c>
      <c r="D74" s="288" t="s">
        <v>45</v>
      </c>
      <c r="E74" s="288" t="s">
        <v>45</v>
      </c>
      <c r="F74" s="288" t="s">
        <v>45</v>
      </c>
      <c r="G74" s="288" t="s">
        <v>45</v>
      </c>
      <c r="H74" s="288" t="s">
        <v>45</v>
      </c>
      <c r="I74" s="288" t="s">
        <v>45</v>
      </c>
      <c r="J74" s="288" t="s">
        <v>45</v>
      </c>
      <c r="K74" s="288" t="s">
        <v>45</v>
      </c>
      <c r="L74" s="288" t="s">
        <v>45</v>
      </c>
      <c r="M74" s="288" t="s">
        <v>45</v>
      </c>
      <c r="N74" s="288" t="s">
        <v>45</v>
      </c>
      <c r="O74" s="53">
        <f t="shared" si="0"/>
        <v>0</v>
      </c>
    </row>
    <row r="75" spans="1:15">
      <c r="A75" s="231"/>
      <c r="B75" s="288" t="s">
        <v>34</v>
      </c>
      <c r="C75" s="288" t="s">
        <v>45</v>
      </c>
      <c r="D75" s="288" t="s">
        <v>45</v>
      </c>
      <c r="E75" s="288" t="s">
        <v>45</v>
      </c>
      <c r="F75" s="288" t="s">
        <v>45</v>
      </c>
      <c r="G75" s="288" t="s">
        <v>45</v>
      </c>
      <c r="H75" s="288" t="s">
        <v>45</v>
      </c>
      <c r="I75" s="288" t="s">
        <v>45</v>
      </c>
      <c r="J75" s="288" t="s">
        <v>45</v>
      </c>
      <c r="K75" s="288" t="s">
        <v>45</v>
      </c>
      <c r="L75" s="288" t="s">
        <v>45</v>
      </c>
      <c r="M75" s="288" t="s">
        <v>45</v>
      </c>
      <c r="N75" s="288" t="s">
        <v>45</v>
      </c>
      <c r="O75" s="53">
        <f t="shared" si="0"/>
        <v>0</v>
      </c>
    </row>
    <row r="76" spans="1:15">
      <c r="A76" s="231"/>
      <c r="B76" s="288" t="s">
        <v>35</v>
      </c>
      <c r="C76" s="288" t="s">
        <v>45</v>
      </c>
      <c r="D76" s="288" t="s">
        <v>45</v>
      </c>
      <c r="E76" s="288" t="s">
        <v>45</v>
      </c>
      <c r="F76" s="288" t="s">
        <v>45</v>
      </c>
      <c r="G76" s="288" t="s">
        <v>45</v>
      </c>
      <c r="H76" s="288" t="s">
        <v>45</v>
      </c>
      <c r="I76" s="288" t="s">
        <v>45</v>
      </c>
      <c r="J76" s="288" t="s">
        <v>45</v>
      </c>
      <c r="K76" s="288" t="s">
        <v>45</v>
      </c>
      <c r="L76" s="288" t="s">
        <v>45</v>
      </c>
      <c r="M76" s="288" t="s">
        <v>45</v>
      </c>
      <c r="N76" s="288" t="s">
        <v>45</v>
      </c>
      <c r="O76" s="53">
        <f t="shared" si="0"/>
        <v>0</v>
      </c>
    </row>
    <row r="77" spans="1:15">
      <c r="A77" s="231"/>
      <c r="B77" s="288" t="s">
        <v>36</v>
      </c>
      <c r="C77" s="231">
        <v>1457.1</v>
      </c>
      <c r="D77" s="231">
        <v>2409.4</v>
      </c>
      <c r="E77" s="231">
        <v>1936.1</v>
      </c>
      <c r="F77" s="231">
        <v>1069.5999999999999</v>
      </c>
      <c r="G77" s="231">
        <v>725.7</v>
      </c>
      <c r="H77" s="231">
        <v>120</v>
      </c>
      <c r="I77" s="231">
        <v>589</v>
      </c>
      <c r="J77" s="231">
        <v>274</v>
      </c>
      <c r="K77" s="231">
        <v>322.10000000000002</v>
      </c>
      <c r="L77" s="231">
        <v>333.1</v>
      </c>
      <c r="M77" s="231">
        <v>804</v>
      </c>
      <c r="N77" s="231">
        <v>1510.8</v>
      </c>
      <c r="O77" s="53">
        <f t="shared" si="0"/>
        <v>11550.900000000001</v>
      </c>
    </row>
    <row r="78" spans="1:15">
      <c r="A78" s="231"/>
      <c r="B78" s="288" t="s">
        <v>37</v>
      </c>
      <c r="C78" s="288" t="s">
        <v>45</v>
      </c>
      <c r="D78" s="288" t="s">
        <v>45</v>
      </c>
      <c r="E78" s="288" t="s">
        <v>45</v>
      </c>
      <c r="F78" s="288" t="s">
        <v>45</v>
      </c>
      <c r="G78" s="288" t="s">
        <v>45</v>
      </c>
      <c r="H78" s="288" t="s">
        <v>45</v>
      </c>
      <c r="I78" s="288" t="s">
        <v>45</v>
      </c>
      <c r="J78" s="288" t="s">
        <v>45</v>
      </c>
      <c r="K78" s="288" t="s">
        <v>45</v>
      </c>
      <c r="L78" s="288" t="s">
        <v>45</v>
      </c>
      <c r="M78" s="288" t="s">
        <v>45</v>
      </c>
      <c r="N78" s="288" t="s">
        <v>45</v>
      </c>
      <c r="O78" s="53">
        <f t="shared" ref="O78:O137" si="1">SUM(C78:N78)</f>
        <v>0</v>
      </c>
    </row>
    <row r="79" spans="1:15">
      <c r="A79" s="231"/>
      <c r="B79" s="288" t="s">
        <v>38</v>
      </c>
      <c r="C79" s="231">
        <v>329.68310000000002</v>
      </c>
      <c r="D79" s="231">
        <v>401.25369999999998</v>
      </c>
      <c r="E79" s="231">
        <v>415.35579999999999</v>
      </c>
      <c r="F79" s="231">
        <v>184.37350000000001</v>
      </c>
      <c r="G79" s="231">
        <v>158.0147</v>
      </c>
      <c r="H79" s="231">
        <v>53.318100000000001</v>
      </c>
      <c r="I79" s="231">
        <v>29.142600000000002</v>
      </c>
      <c r="J79" s="231">
        <v>30.002500000000001</v>
      </c>
      <c r="K79" s="231">
        <v>26.727</v>
      </c>
      <c r="L79" s="231">
        <v>48.455100000000002</v>
      </c>
      <c r="M79" s="231">
        <v>102.3451</v>
      </c>
      <c r="N79" s="231">
        <v>273.51710000000003</v>
      </c>
      <c r="O79" s="53">
        <f t="shared" si="1"/>
        <v>2052.1882999999998</v>
      </c>
    </row>
    <row r="80" spans="1:15">
      <c r="A80" s="231"/>
      <c r="B80" s="288" t="s">
        <v>39</v>
      </c>
      <c r="C80" s="231">
        <v>16.125</v>
      </c>
      <c r="D80" s="231">
        <v>40.312399999999997</v>
      </c>
      <c r="E80" s="231">
        <v>41.432200000000002</v>
      </c>
      <c r="F80" s="231">
        <v>25.979099999999999</v>
      </c>
      <c r="G80" s="231">
        <v>38.856700000000004</v>
      </c>
      <c r="H80" s="231">
        <v>0.224</v>
      </c>
      <c r="I80" s="288" t="s">
        <v>45</v>
      </c>
      <c r="J80" s="288" t="s">
        <v>45</v>
      </c>
      <c r="K80" s="231">
        <v>21.388000000000002</v>
      </c>
      <c r="L80" s="231">
        <v>26.986899999999999</v>
      </c>
      <c r="M80" s="231">
        <v>24.523399999999999</v>
      </c>
      <c r="N80" s="231">
        <v>18.140599999999999</v>
      </c>
      <c r="O80" s="53">
        <f t="shared" si="1"/>
        <v>253.9683</v>
      </c>
    </row>
    <row r="81" spans="1:15">
      <c r="A81" s="231"/>
      <c r="B81" s="288" t="s">
        <v>40</v>
      </c>
      <c r="C81" s="231">
        <v>121.4</v>
      </c>
      <c r="D81" s="231">
        <v>184.4</v>
      </c>
      <c r="E81" s="231">
        <v>147.6</v>
      </c>
      <c r="F81" s="231">
        <v>83</v>
      </c>
      <c r="G81" s="231">
        <v>42.8</v>
      </c>
      <c r="H81" s="231">
        <v>8</v>
      </c>
      <c r="I81" s="231">
        <v>1.6</v>
      </c>
      <c r="J81" s="231">
        <v>1.5</v>
      </c>
      <c r="K81" s="231">
        <v>2.6</v>
      </c>
      <c r="L81" s="231">
        <v>5.8</v>
      </c>
      <c r="M81" s="231">
        <v>53.2</v>
      </c>
      <c r="N81" s="231">
        <v>100</v>
      </c>
      <c r="O81" s="53">
        <f t="shared" si="1"/>
        <v>751.9</v>
      </c>
    </row>
    <row r="82" spans="1:15">
      <c r="A82" s="231"/>
      <c r="B82" s="288" t="s">
        <v>41</v>
      </c>
      <c r="C82" s="231">
        <v>1576.4</v>
      </c>
      <c r="D82" s="231">
        <v>1901</v>
      </c>
      <c r="E82" s="231">
        <v>1264.5999999999999</v>
      </c>
      <c r="F82" s="231">
        <v>882.73670000000004</v>
      </c>
      <c r="G82" s="231">
        <v>403.22640000000001</v>
      </c>
      <c r="H82" s="231">
        <v>223.86920000000001</v>
      </c>
      <c r="I82" s="231">
        <v>189.48650000000001</v>
      </c>
      <c r="J82" s="231">
        <v>186.67500000000001</v>
      </c>
      <c r="K82" s="231">
        <v>191.38390000000001</v>
      </c>
      <c r="L82" s="231">
        <v>282.38040000000001</v>
      </c>
      <c r="M82" s="231">
        <v>929.34749999999997</v>
      </c>
      <c r="N82" s="231">
        <v>1267.0554</v>
      </c>
      <c r="O82" s="53">
        <f t="shared" si="1"/>
        <v>9298.1610000000001</v>
      </c>
    </row>
    <row r="83" spans="1:15">
      <c r="A83" s="8"/>
      <c r="B83" s="9" t="s">
        <v>42</v>
      </c>
      <c r="C83" s="8">
        <v>9225.0081000000009</v>
      </c>
      <c r="D83" s="8">
        <v>12611.966100000001</v>
      </c>
      <c r="E83" s="8">
        <v>9136.4879999999994</v>
      </c>
      <c r="F83" s="8">
        <v>6401.2893000000004</v>
      </c>
      <c r="G83" s="8">
        <v>4175.5122000000001</v>
      </c>
      <c r="H83" s="8">
        <v>2505.5967999999998</v>
      </c>
      <c r="I83" s="8">
        <v>2509.7626</v>
      </c>
      <c r="J83" s="8">
        <v>2062.5875999999998</v>
      </c>
      <c r="K83" s="8">
        <v>2368.3562999999999</v>
      </c>
      <c r="L83" s="8">
        <v>3416.2559000000001</v>
      </c>
      <c r="M83" s="8">
        <v>3040.4241999999999</v>
      </c>
      <c r="N83" s="8">
        <v>15081.581099999999</v>
      </c>
      <c r="O83" s="53">
        <f t="shared" si="1"/>
        <v>72534.828200000004</v>
      </c>
    </row>
    <row r="84" spans="1:15">
      <c r="A84" s="231"/>
      <c r="B84" s="288"/>
      <c r="C84" s="231"/>
      <c r="D84" s="231"/>
      <c r="E84" s="231"/>
      <c r="F84" s="231"/>
      <c r="G84" s="231"/>
      <c r="H84" s="231"/>
      <c r="I84" s="231"/>
      <c r="J84" s="231"/>
      <c r="K84" s="231"/>
      <c r="L84" s="231"/>
      <c r="M84" s="231"/>
      <c r="N84" s="231"/>
      <c r="O84" s="53"/>
    </row>
    <row r="85" spans="1:15">
      <c r="A85" s="288" t="s">
        <v>47</v>
      </c>
      <c r="B85" s="288" t="s">
        <v>26</v>
      </c>
      <c r="C85" s="288" t="s">
        <v>45</v>
      </c>
      <c r="D85" s="288" t="s">
        <v>45</v>
      </c>
      <c r="E85" s="288" t="s">
        <v>45</v>
      </c>
      <c r="F85" s="288" t="s">
        <v>45</v>
      </c>
      <c r="G85" s="288" t="s">
        <v>45</v>
      </c>
      <c r="H85" s="288" t="s">
        <v>45</v>
      </c>
      <c r="I85" s="288" t="s">
        <v>45</v>
      </c>
      <c r="J85" s="288" t="s">
        <v>45</v>
      </c>
      <c r="K85" s="288" t="s">
        <v>45</v>
      </c>
      <c r="L85" s="288" t="s">
        <v>45</v>
      </c>
      <c r="M85" s="288" t="s">
        <v>45</v>
      </c>
      <c r="N85" s="288" t="s">
        <v>45</v>
      </c>
      <c r="O85" s="53">
        <f t="shared" si="1"/>
        <v>0</v>
      </c>
    </row>
    <row r="86" spans="1:15">
      <c r="A86" s="231"/>
      <c r="B86" s="288" t="s">
        <v>27</v>
      </c>
      <c r="C86" s="231">
        <v>5909</v>
      </c>
      <c r="D86" s="231">
        <v>7444</v>
      </c>
      <c r="E86" s="231">
        <v>4161</v>
      </c>
      <c r="F86" s="231">
        <v>3929</v>
      </c>
      <c r="G86" s="231">
        <v>7083</v>
      </c>
      <c r="H86" s="231">
        <v>1827</v>
      </c>
      <c r="I86" s="231">
        <v>2228</v>
      </c>
      <c r="J86" s="231">
        <v>2030</v>
      </c>
      <c r="K86" s="231">
        <v>2177</v>
      </c>
      <c r="L86" s="231">
        <v>4185</v>
      </c>
      <c r="M86" s="231">
        <v>5618</v>
      </c>
      <c r="N86" s="231">
        <v>5264</v>
      </c>
      <c r="O86" s="53">
        <f t="shared" si="1"/>
        <v>51855</v>
      </c>
    </row>
    <row r="87" spans="1:15">
      <c r="A87" s="231"/>
      <c r="B87" s="294" t="s">
        <v>28</v>
      </c>
      <c r="C87" s="293">
        <v>7377</v>
      </c>
      <c r="D87" s="293">
        <v>22101</v>
      </c>
      <c r="E87" s="293">
        <v>12791</v>
      </c>
      <c r="F87" s="293">
        <v>1067</v>
      </c>
      <c r="G87" s="293">
        <v>2883</v>
      </c>
      <c r="H87" s="293">
        <v>24100</v>
      </c>
      <c r="I87" s="293">
        <v>38621</v>
      </c>
      <c r="J87" s="293">
        <v>39161</v>
      </c>
      <c r="K87" s="293">
        <v>35469</v>
      </c>
      <c r="L87" s="293">
        <v>42054</v>
      </c>
      <c r="M87" s="293">
        <v>21486</v>
      </c>
      <c r="N87" s="293">
        <v>24596</v>
      </c>
      <c r="O87" s="54">
        <f t="shared" si="1"/>
        <v>271706</v>
      </c>
    </row>
    <row r="88" spans="1:15">
      <c r="A88" s="231"/>
      <c r="B88" s="288" t="s">
        <v>29</v>
      </c>
      <c r="C88" s="231">
        <v>11836</v>
      </c>
      <c r="D88" s="231">
        <v>9026</v>
      </c>
      <c r="E88" s="231">
        <v>6872</v>
      </c>
      <c r="F88" s="231">
        <v>9442</v>
      </c>
      <c r="G88" s="231">
        <v>8730</v>
      </c>
      <c r="H88" s="231">
        <v>8764</v>
      </c>
      <c r="I88" s="231">
        <v>9056</v>
      </c>
      <c r="J88" s="231">
        <v>7757</v>
      </c>
      <c r="K88" s="231">
        <v>10200</v>
      </c>
      <c r="L88" s="231">
        <v>9150</v>
      </c>
      <c r="M88" s="231">
        <v>9580</v>
      </c>
      <c r="N88" s="231">
        <v>9078</v>
      </c>
      <c r="O88" s="53">
        <f t="shared" si="1"/>
        <v>109491</v>
      </c>
    </row>
    <row r="89" spans="1:15">
      <c r="A89" s="231"/>
      <c r="B89" s="288" t="s">
        <v>30</v>
      </c>
      <c r="C89" s="288" t="s">
        <v>45</v>
      </c>
      <c r="D89" s="288" t="s">
        <v>45</v>
      </c>
      <c r="E89" s="288" t="s">
        <v>45</v>
      </c>
      <c r="F89" s="288" t="s">
        <v>45</v>
      </c>
      <c r="G89" s="288" t="s">
        <v>45</v>
      </c>
      <c r="H89" s="288" t="s">
        <v>45</v>
      </c>
      <c r="I89" s="288" t="s">
        <v>45</v>
      </c>
      <c r="J89" s="288" t="s">
        <v>45</v>
      </c>
      <c r="K89" s="288" t="s">
        <v>45</v>
      </c>
      <c r="L89" s="288" t="s">
        <v>45</v>
      </c>
      <c r="M89" s="288" t="s">
        <v>45</v>
      </c>
      <c r="N89" s="288" t="s">
        <v>45</v>
      </c>
      <c r="O89" s="53">
        <f t="shared" si="1"/>
        <v>0</v>
      </c>
    </row>
    <row r="90" spans="1:15">
      <c r="A90" s="231"/>
      <c r="B90" s="288" t="s">
        <v>31</v>
      </c>
      <c r="C90" s="288" t="s">
        <v>45</v>
      </c>
      <c r="D90" s="288" t="s">
        <v>45</v>
      </c>
      <c r="E90" s="288" t="s">
        <v>45</v>
      </c>
      <c r="F90" s="288" t="s">
        <v>45</v>
      </c>
      <c r="G90" s="288" t="s">
        <v>45</v>
      </c>
      <c r="H90" s="288" t="s">
        <v>45</v>
      </c>
      <c r="I90" s="288" t="s">
        <v>45</v>
      </c>
      <c r="J90" s="288" t="s">
        <v>45</v>
      </c>
      <c r="K90" s="288" t="s">
        <v>45</v>
      </c>
      <c r="L90" s="288" t="s">
        <v>45</v>
      </c>
      <c r="M90" s="288" t="s">
        <v>45</v>
      </c>
      <c r="N90" s="288" t="s">
        <v>45</v>
      </c>
      <c r="O90" s="53">
        <f t="shared" si="1"/>
        <v>0</v>
      </c>
    </row>
    <row r="91" spans="1:15">
      <c r="A91" s="231"/>
      <c r="B91" s="288" t="s">
        <v>32</v>
      </c>
      <c r="C91" s="231">
        <v>52299</v>
      </c>
      <c r="D91" s="231">
        <v>41056</v>
      </c>
      <c r="E91" s="231">
        <v>26801</v>
      </c>
      <c r="F91" s="231">
        <v>23641</v>
      </c>
      <c r="G91" s="231">
        <v>15251</v>
      </c>
      <c r="H91" s="231">
        <v>12253</v>
      </c>
      <c r="I91" s="231">
        <v>15126</v>
      </c>
      <c r="J91" s="231">
        <v>10474</v>
      </c>
      <c r="K91" s="231">
        <v>18096</v>
      </c>
      <c r="L91" s="231">
        <v>28598</v>
      </c>
      <c r="M91" s="231">
        <v>42397</v>
      </c>
      <c r="N91" s="231">
        <v>45523</v>
      </c>
      <c r="O91" s="53">
        <f t="shared" si="1"/>
        <v>331515</v>
      </c>
    </row>
    <row r="92" spans="1:15">
      <c r="A92" s="231"/>
      <c r="B92" s="288" t="s">
        <v>33</v>
      </c>
      <c r="C92" s="288" t="s">
        <v>45</v>
      </c>
      <c r="D92" s="288" t="s">
        <v>45</v>
      </c>
      <c r="E92" s="288" t="s">
        <v>45</v>
      </c>
      <c r="F92" s="288" t="s">
        <v>45</v>
      </c>
      <c r="G92" s="288" t="s">
        <v>45</v>
      </c>
      <c r="H92" s="288" t="s">
        <v>45</v>
      </c>
      <c r="I92" s="288" t="s">
        <v>45</v>
      </c>
      <c r="J92" s="288" t="s">
        <v>45</v>
      </c>
      <c r="K92" s="288" t="s">
        <v>45</v>
      </c>
      <c r="L92" s="288" t="s">
        <v>45</v>
      </c>
      <c r="M92" s="288" t="s">
        <v>45</v>
      </c>
      <c r="N92" s="288" t="s">
        <v>45</v>
      </c>
      <c r="O92" s="53">
        <f t="shared" si="1"/>
        <v>0</v>
      </c>
    </row>
    <row r="93" spans="1:15">
      <c r="A93" s="231"/>
      <c r="B93" s="288" t="s">
        <v>34</v>
      </c>
      <c r="C93" s="288" t="s">
        <v>45</v>
      </c>
      <c r="D93" s="288" t="s">
        <v>45</v>
      </c>
      <c r="E93" s="288" t="s">
        <v>45</v>
      </c>
      <c r="F93" s="288" t="s">
        <v>45</v>
      </c>
      <c r="G93" s="288" t="s">
        <v>45</v>
      </c>
      <c r="H93" s="288" t="s">
        <v>45</v>
      </c>
      <c r="I93" s="288" t="s">
        <v>45</v>
      </c>
      <c r="J93" s="288" t="s">
        <v>45</v>
      </c>
      <c r="K93" s="288" t="s">
        <v>45</v>
      </c>
      <c r="L93" s="288" t="s">
        <v>45</v>
      </c>
      <c r="M93" s="288" t="s">
        <v>45</v>
      </c>
      <c r="N93" s="288" t="s">
        <v>45</v>
      </c>
      <c r="O93" s="53">
        <f t="shared" si="1"/>
        <v>0</v>
      </c>
    </row>
    <row r="94" spans="1:15">
      <c r="A94" s="231"/>
      <c r="B94" s="288" t="s">
        <v>35</v>
      </c>
      <c r="C94" s="288" t="s">
        <v>45</v>
      </c>
      <c r="D94" s="288" t="s">
        <v>45</v>
      </c>
      <c r="E94" s="288" t="s">
        <v>45</v>
      </c>
      <c r="F94" s="288" t="s">
        <v>45</v>
      </c>
      <c r="G94" s="288" t="s">
        <v>45</v>
      </c>
      <c r="H94" s="288" t="s">
        <v>45</v>
      </c>
      <c r="I94" s="288" t="s">
        <v>45</v>
      </c>
      <c r="J94" s="288" t="s">
        <v>45</v>
      </c>
      <c r="K94" s="288" t="s">
        <v>45</v>
      </c>
      <c r="L94" s="288" t="s">
        <v>45</v>
      </c>
      <c r="M94" s="288" t="s">
        <v>45</v>
      </c>
      <c r="N94" s="288" t="s">
        <v>45</v>
      </c>
      <c r="O94" s="53">
        <f t="shared" si="1"/>
        <v>0</v>
      </c>
    </row>
    <row r="95" spans="1:15">
      <c r="A95" s="231"/>
      <c r="B95" s="288" t="s">
        <v>36</v>
      </c>
      <c r="C95" s="231">
        <v>8268</v>
      </c>
      <c r="D95" s="231">
        <v>7839</v>
      </c>
      <c r="E95" s="231">
        <v>3993</v>
      </c>
      <c r="F95" s="231">
        <v>1751</v>
      </c>
      <c r="G95" s="231">
        <v>1669</v>
      </c>
      <c r="H95" s="231">
        <v>6419</v>
      </c>
      <c r="I95" s="231">
        <v>13259</v>
      </c>
      <c r="J95" s="231">
        <v>12894</v>
      </c>
      <c r="K95" s="231">
        <v>12442</v>
      </c>
      <c r="L95" s="231">
        <v>12270</v>
      </c>
      <c r="M95" s="231">
        <v>11483</v>
      </c>
      <c r="N95" s="231">
        <v>17164</v>
      </c>
      <c r="O95" s="53">
        <f t="shared" si="1"/>
        <v>109451</v>
      </c>
    </row>
    <row r="96" spans="1:15">
      <c r="A96" s="231"/>
      <c r="B96" s="288" t="s">
        <v>37</v>
      </c>
      <c r="C96" s="288" t="s">
        <v>45</v>
      </c>
      <c r="D96" s="288" t="s">
        <v>45</v>
      </c>
      <c r="E96" s="288" t="s">
        <v>45</v>
      </c>
      <c r="F96" s="288" t="s">
        <v>45</v>
      </c>
      <c r="G96" s="288" t="s">
        <v>45</v>
      </c>
      <c r="H96" s="288" t="s">
        <v>45</v>
      </c>
      <c r="I96" s="288" t="s">
        <v>45</v>
      </c>
      <c r="J96" s="288" t="s">
        <v>45</v>
      </c>
      <c r="K96" s="288" t="s">
        <v>45</v>
      </c>
      <c r="L96" s="288" t="s">
        <v>45</v>
      </c>
      <c r="M96" s="288" t="s">
        <v>45</v>
      </c>
      <c r="N96" s="288" t="s">
        <v>45</v>
      </c>
      <c r="O96" s="53">
        <f t="shared" si="1"/>
        <v>0</v>
      </c>
    </row>
    <row r="97" spans="1:15">
      <c r="A97" s="231"/>
      <c r="B97" s="288" t="s">
        <v>38</v>
      </c>
      <c r="C97" s="231">
        <v>31640</v>
      </c>
      <c r="D97" s="231">
        <v>62683</v>
      </c>
      <c r="E97" s="231">
        <v>27657</v>
      </c>
      <c r="F97" s="231">
        <v>64451</v>
      </c>
      <c r="G97" s="231">
        <v>39002</v>
      </c>
      <c r="H97" s="231">
        <v>53708</v>
      </c>
      <c r="I97" s="231">
        <v>26626</v>
      </c>
      <c r="J97" s="231">
        <v>40024</v>
      </c>
      <c r="K97" s="231">
        <v>35576</v>
      </c>
      <c r="L97" s="231">
        <v>41391</v>
      </c>
      <c r="M97" s="231">
        <v>51526</v>
      </c>
      <c r="N97" s="231">
        <v>26406.5</v>
      </c>
      <c r="O97" s="53">
        <f t="shared" si="1"/>
        <v>500690.5</v>
      </c>
    </row>
    <row r="98" spans="1:15">
      <c r="A98" s="231"/>
      <c r="B98" s="288" t="s">
        <v>39</v>
      </c>
      <c r="C98" s="231">
        <v>21379</v>
      </c>
      <c r="D98" s="231">
        <v>26828</v>
      </c>
      <c r="E98" s="231">
        <v>20275</v>
      </c>
      <c r="F98" s="231">
        <v>18393</v>
      </c>
      <c r="G98" s="231">
        <v>14150</v>
      </c>
      <c r="H98" s="231">
        <v>14424</v>
      </c>
      <c r="I98" s="231">
        <v>24235</v>
      </c>
      <c r="J98" s="231">
        <v>11253</v>
      </c>
      <c r="K98" s="231">
        <v>19197</v>
      </c>
      <c r="L98" s="231">
        <v>18801</v>
      </c>
      <c r="M98" s="231">
        <v>23159</v>
      </c>
      <c r="N98" s="231">
        <v>31794</v>
      </c>
      <c r="O98" s="53">
        <f t="shared" si="1"/>
        <v>243888</v>
      </c>
    </row>
    <row r="99" spans="1:15">
      <c r="A99" s="231"/>
      <c r="B99" s="288" t="s">
        <v>40</v>
      </c>
      <c r="C99" s="288" t="s">
        <v>45</v>
      </c>
      <c r="D99" s="288" t="s">
        <v>45</v>
      </c>
      <c r="E99" s="288" t="s">
        <v>45</v>
      </c>
      <c r="F99" s="288" t="s">
        <v>45</v>
      </c>
      <c r="G99" s="288" t="s">
        <v>45</v>
      </c>
      <c r="H99" s="288" t="s">
        <v>45</v>
      </c>
      <c r="I99" s="288" t="s">
        <v>45</v>
      </c>
      <c r="J99" s="288" t="s">
        <v>45</v>
      </c>
      <c r="K99" s="288" t="s">
        <v>45</v>
      </c>
      <c r="L99" s="288" t="s">
        <v>45</v>
      </c>
      <c r="M99" s="288" t="s">
        <v>45</v>
      </c>
      <c r="N99" s="288" t="s">
        <v>45</v>
      </c>
      <c r="O99" s="53">
        <f t="shared" si="1"/>
        <v>0</v>
      </c>
    </row>
    <row r="100" spans="1:15">
      <c r="A100" s="231"/>
      <c r="B100" s="288" t="s">
        <v>41</v>
      </c>
      <c r="C100" s="288" t="s">
        <v>45</v>
      </c>
      <c r="D100" s="288" t="s">
        <v>45</v>
      </c>
      <c r="E100" s="288" t="s">
        <v>45</v>
      </c>
      <c r="F100" s="288" t="s">
        <v>45</v>
      </c>
      <c r="G100" s="288" t="s">
        <v>45</v>
      </c>
      <c r="H100" s="288" t="s">
        <v>45</v>
      </c>
      <c r="I100" s="288" t="s">
        <v>45</v>
      </c>
      <c r="J100" s="288" t="s">
        <v>45</v>
      </c>
      <c r="K100" s="288" t="s">
        <v>45</v>
      </c>
      <c r="L100" s="288" t="s">
        <v>45</v>
      </c>
      <c r="M100" s="288" t="s">
        <v>45</v>
      </c>
      <c r="N100" s="288" t="s">
        <v>45</v>
      </c>
      <c r="O100" s="53">
        <f t="shared" si="1"/>
        <v>0</v>
      </c>
    </row>
    <row r="101" spans="1:15">
      <c r="A101" s="8"/>
      <c r="B101" s="9" t="s">
        <v>42</v>
      </c>
      <c r="C101" s="8">
        <v>138708</v>
      </c>
      <c r="D101" s="8">
        <v>176977</v>
      </c>
      <c r="E101" s="8">
        <v>102550</v>
      </c>
      <c r="F101" s="8">
        <v>122674</v>
      </c>
      <c r="G101" s="8">
        <v>88768</v>
      </c>
      <c r="H101" s="8">
        <v>121495</v>
      </c>
      <c r="I101" s="8">
        <v>129151</v>
      </c>
      <c r="J101" s="8">
        <v>123593</v>
      </c>
      <c r="K101" s="8">
        <v>133157</v>
      </c>
      <c r="L101" s="8">
        <v>156449</v>
      </c>
      <c r="M101" s="8">
        <v>165249</v>
      </c>
      <c r="N101" s="8">
        <v>159825.5</v>
      </c>
      <c r="O101" s="53">
        <f t="shared" si="1"/>
        <v>1618596.5</v>
      </c>
    </row>
    <row r="102" spans="1:15">
      <c r="A102" s="231"/>
      <c r="B102" s="288"/>
      <c r="C102" s="231"/>
      <c r="D102" s="231"/>
      <c r="E102" s="231"/>
      <c r="F102" s="231"/>
      <c r="G102" s="231"/>
      <c r="H102" s="231"/>
      <c r="I102" s="231"/>
      <c r="J102" s="231"/>
      <c r="K102" s="231"/>
      <c r="L102" s="231"/>
      <c r="M102" s="231"/>
      <c r="N102" s="231"/>
      <c r="O102" s="53"/>
    </row>
    <row r="103" spans="1:15">
      <c r="A103" s="288" t="s">
        <v>48</v>
      </c>
      <c r="B103" s="288" t="s">
        <v>26</v>
      </c>
      <c r="C103" s="231">
        <v>145.7775</v>
      </c>
      <c r="D103" s="231">
        <v>146.4067</v>
      </c>
      <c r="E103" s="231">
        <v>113.76479999999999</v>
      </c>
      <c r="F103" s="231">
        <v>107.5997</v>
      </c>
      <c r="G103" s="231">
        <v>124.0609</v>
      </c>
      <c r="H103" s="231">
        <v>12.9</v>
      </c>
      <c r="I103" s="231">
        <v>11.4</v>
      </c>
      <c r="J103" s="231">
        <v>10.1</v>
      </c>
      <c r="K103" s="231">
        <v>13.634499999999999</v>
      </c>
      <c r="L103" s="231">
        <v>19.100000000000001</v>
      </c>
      <c r="M103" s="231">
        <v>99.583100000000002</v>
      </c>
      <c r="N103" s="231">
        <v>137.2687</v>
      </c>
      <c r="O103" s="53">
        <f t="shared" si="1"/>
        <v>941.59589999999992</v>
      </c>
    </row>
    <row r="104" spans="1:15">
      <c r="A104" s="231"/>
      <c r="B104" s="288" t="s">
        <v>27</v>
      </c>
      <c r="C104" s="231">
        <v>58.024500000000003</v>
      </c>
      <c r="D104" s="231">
        <v>65.116399999999999</v>
      </c>
      <c r="E104" s="231">
        <v>45.989800000000002</v>
      </c>
      <c r="F104" s="231">
        <v>39.7575</v>
      </c>
      <c r="G104" s="231">
        <v>35.674300000000002</v>
      </c>
      <c r="H104" s="231">
        <v>18.9117</v>
      </c>
      <c r="I104" s="231">
        <v>18.4819</v>
      </c>
      <c r="J104" s="231">
        <v>18.266999999999999</v>
      </c>
      <c r="K104" s="231">
        <v>18.266999999999999</v>
      </c>
      <c r="L104" s="231">
        <v>25.358799999999999</v>
      </c>
      <c r="M104" s="231">
        <v>41.476799999999997</v>
      </c>
      <c r="N104" s="231">
        <v>46.849400000000003</v>
      </c>
      <c r="O104" s="53">
        <f t="shared" si="1"/>
        <v>432.17509999999999</v>
      </c>
    </row>
    <row r="105" spans="1:15">
      <c r="A105" s="231"/>
      <c r="B105" s="294" t="s">
        <v>28</v>
      </c>
      <c r="C105" s="293">
        <v>192.5</v>
      </c>
      <c r="D105" s="293">
        <v>291.10000000000002</v>
      </c>
      <c r="E105" s="294" t="s">
        <v>45</v>
      </c>
      <c r="F105" s="294" t="s">
        <v>45</v>
      </c>
      <c r="G105" s="294" t="s">
        <v>45</v>
      </c>
      <c r="H105" s="294" t="s">
        <v>45</v>
      </c>
      <c r="I105" s="294" t="s">
        <v>45</v>
      </c>
      <c r="J105" s="294" t="s">
        <v>45</v>
      </c>
      <c r="K105" s="294" t="s">
        <v>45</v>
      </c>
      <c r="L105" s="294" t="s">
        <v>45</v>
      </c>
      <c r="M105" s="294" t="s">
        <v>45</v>
      </c>
      <c r="N105" s="294" t="s">
        <v>45</v>
      </c>
      <c r="O105" s="54">
        <f t="shared" si="1"/>
        <v>483.6</v>
      </c>
    </row>
    <row r="106" spans="1:15">
      <c r="A106" s="231"/>
      <c r="B106" s="288" t="s">
        <v>29</v>
      </c>
      <c r="C106" s="231">
        <v>143.25560000000002</v>
      </c>
      <c r="D106" s="231">
        <v>166.05430000000001</v>
      </c>
      <c r="E106" s="231">
        <v>99.345100000000002</v>
      </c>
      <c r="F106" s="231">
        <v>33.734099999999998</v>
      </c>
      <c r="G106" s="231">
        <v>17.600000000000001</v>
      </c>
      <c r="H106" s="231">
        <v>7.3012999999999995</v>
      </c>
      <c r="I106" s="231">
        <v>23</v>
      </c>
      <c r="J106" s="231">
        <v>14.0345</v>
      </c>
      <c r="K106" s="231">
        <v>14.034099999999999</v>
      </c>
      <c r="L106" s="231">
        <v>18.3673</v>
      </c>
      <c r="M106" s="231">
        <v>32.767299999999999</v>
      </c>
      <c r="N106" s="231">
        <v>80.549800000000005</v>
      </c>
      <c r="O106" s="53">
        <f t="shared" si="1"/>
        <v>650.04340000000002</v>
      </c>
    </row>
    <row r="107" spans="1:15">
      <c r="A107" s="231"/>
      <c r="B107" s="288" t="s">
        <v>30</v>
      </c>
      <c r="C107" s="231">
        <v>42.644599999999997</v>
      </c>
      <c r="D107" s="231">
        <v>47.673499999999997</v>
      </c>
      <c r="E107" s="231">
        <v>63.564599999999999</v>
      </c>
      <c r="F107" s="231">
        <v>31.581199999999999</v>
      </c>
      <c r="G107" s="231">
        <v>23.535</v>
      </c>
      <c r="H107" s="231">
        <v>18.7073</v>
      </c>
      <c r="I107" s="231">
        <v>19.1096</v>
      </c>
      <c r="J107" s="231">
        <v>20.316500000000001</v>
      </c>
      <c r="K107" s="231">
        <v>19.1096</v>
      </c>
      <c r="L107" s="231">
        <v>21.724599999999999</v>
      </c>
      <c r="M107" s="231">
        <v>34.799599999999998</v>
      </c>
      <c r="N107" s="231">
        <v>59.742699999999999</v>
      </c>
      <c r="O107" s="53">
        <f t="shared" si="1"/>
        <v>402.50880000000001</v>
      </c>
    </row>
    <row r="108" spans="1:15">
      <c r="A108" s="231"/>
      <c r="B108" s="288" t="s">
        <v>31</v>
      </c>
      <c r="C108" s="231">
        <v>67.3</v>
      </c>
      <c r="D108" s="231">
        <v>64.7</v>
      </c>
      <c r="E108" s="231">
        <v>68.8</v>
      </c>
      <c r="F108" s="231">
        <v>57.4</v>
      </c>
      <c r="G108" s="231">
        <v>63.3</v>
      </c>
      <c r="H108" s="231">
        <v>50</v>
      </c>
      <c r="I108" s="231">
        <v>11.2</v>
      </c>
      <c r="J108" s="231">
        <v>0.2</v>
      </c>
      <c r="K108" s="231">
        <v>0.1</v>
      </c>
      <c r="L108" s="288" t="s">
        <v>45</v>
      </c>
      <c r="M108" s="231">
        <v>35.299999999999997</v>
      </c>
      <c r="N108" s="231">
        <v>76.099999999999994</v>
      </c>
      <c r="O108" s="53">
        <f t="shared" si="1"/>
        <v>494.4</v>
      </c>
    </row>
    <row r="109" spans="1:15">
      <c r="A109" s="231"/>
      <c r="B109" s="288" t="s">
        <v>32</v>
      </c>
      <c r="C109" s="231">
        <v>248.72020000000001</v>
      </c>
      <c r="D109" s="231">
        <v>144.66810000000001</v>
      </c>
      <c r="E109" s="231">
        <v>400.33590000000004</v>
      </c>
      <c r="F109" s="231">
        <v>486.02949999999998</v>
      </c>
      <c r="G109" s="231">
        <v>766.86180000000002</v>
      </c>
      <c r="H109" s="231">
        <v>584.98630000000003</v>
      </c>
      <c r="I109" s="231">
        <v>516.98159999999996</v>
      </c>
      <c r="J109" s="231">
        <v>826.56089999999995</v>
      </c>
      <c r="K109" s="231">
        <v>583.11180000000002</v>
      </c>
      <c r="L109" s="231">
        <v>643.54330000000004</v>
      </c>
      <c r="M109" s="288" t="s">
        <v>45</v>
      </c>
      <c r="N109" s="231">
        <v>764.59249999999997</v>
      </c>
      <c r="O109" s="53">
        <f t="shared" si="1"/>
        <v>5966.3919000000005</v>
      </c>
    </row>
    <row r="110" spans="1:15">
      <c r="A110" s="231"/>
      <c r="B110" s="288" t="s">
        <v>33</v>
      </c>
      <c r="C110" s="288" t="s">
        <v>45</v>
      </c>
      <c r="D110" s="288" t="s">
        <v>45</v>
      </c>
      <c r="E110" s="288" t="s">
        <v>45</v>
      </c>
      <c r="F110" s="288" t="s">
        <v>45</v>
      </c>
      <c r="G110" s="288" t="s">
        <v>45</v>
      </c>
      <c r="H110" s="288" t="s">
        <v>45</v>
      </c>
      <c r="I110" s="288" t="s">
        <v>45</v>
      </c>
      <c r="J110" s="288" t="s">
        <v>45</v>
      </c>
      <c r="K110" s="288" t="s">
        <v>45</v>
      </c>
      <c r="L110" s="288" t="s">
        <v>45</v>
      </c>
      <c r="M110" s="288" t="s">
        <v>45</v>
      </c>
      <c r="N110" s="288" t="s">
        <v>45</v>
      </c>
      <c r="O110" s="53">
        <f t="shared" si="1"/>
        <v>0</v>
      </c>
    </row>
    <row r="111" spans="1:15">
      <c r="A111" s="231"/>
      <c r="B111" s="288" t="s">
        <v>34</v>
      </c>
      <c r="C111" s="231">
        <v>141.4</v>
      </c>
      <c r="D111" s="231">
        <v>137.9</v>
      </c>
      <c r="E111" s="231">
        <v>118.3</v>
      </c>
      <c r="F111" s="231">
        <v>91.7</v>
      </c>
      <c r="G111" s="231">
        <v>74</v>
      </c>
      <c r="H111" s="288" t="s">
        <v>45</v>
      </c>
      <c r="I111" s="288" t="s">
        <v>45</v>
      </c>
      <c r="J111" s="288" t="s">
        <v>45</v>
      </c>
      <c r="K111" s="288" t="s">
        <v>45</v>
      </c>
      <c r="L111" s="231">
        <v>6.1</v>
      </c>
      <c r="M111" s="231">
        <v>19.5</v>
      </c>
      <c r="N111" s="231">
        <v>22.8</v>
      </c>
      <c r="O111" s="53">
        <f t="shared" si="1"/>
        <v>611.69999999999993</v>
      </c>
    </row>
    <row r="112" spans="1:15">
      <c r="A112" s="231"/>
      <c r="B112" s="288" t="s">
        <v>35</v>
      </c>
      <c r="C112" s="288" t="s">
        <v>45</v>
      </c>
      <c r="D112" s="288" t="s">
        <v>45</v>
      </c>
      <c r="E112" s="288" t="s">
        <v>45</v>
      </c>
      <c r="F112" s="288" t="s">
        <v>45</v>
      </c>
      <c r="G112" s="288" t="s">
        <v>45</v>
      </c>
      <c r="H112" s="288" t="s">
        <v>45</v>
      </c>
      <c r="I112" s="288" t="s">
        <v>45</v>
      </c>
      <c r="J112" s="288" t="s">
        <v>45</v>
      </c>
      <c r="K112" s="288" t="s">
        <v>45</v>
      </c>
      <c r="L112" s="288" t="s">
        <v>45</v>
      </c>
      <c r="M112" s="288" t="s">
        <v>45</v>
      </c>
      <c r="N112" s="288" t="s">
        <v>45</v>
      </c>
      <c r="O112" s="53">
        <f t="shared" si="1"/>
        <v>0</v>
      </c>
    </row>
    <row r="113" spans="1:15">
      <c r="A113" s="231"/>
      <c r="B113" s="288" t="s">
        <v>36</v>
      </c>
      <c r="C113" s="231">
        <v>161.28489999999999</v>
      </c>
      <c r="D113" s="231">
        <v>170.65290000000002</v>
      </c>
      <c r="E113" s="231">
        <v>96.924300000000002</v>
      </c>
      <c r="F113" s="231">
        <v>96.467299999999994</v>
      </c>
      <c r="G113" s="231">
        <v>30.9193</v>
      </c>
      <c r="H113" s="231">
        <v>10.236599999999999</v>
      </c>
      <c r="I113" s="231">
        <v>7.6577000000000002</v>
      </c>
      <c r="J113" s="231">
        <v>8.7024000000000008</v>
      </c>
      <c r="K113" s="231">
        <v>9.2408999999999999</v>
      </c>
      <c r="L113" s="231">
        <v>16.1357</v>
      </c>
      <c r="M113" s="231">
        <v>75.895300000000006</v>
      </c>
      <c r="N113" s="231">
        <v>112.3974</v>
      </c>
      <c r="O113" s="53">
        <f t="shared" si="1"/>
        <v>796.51470000000018</v>
      </c>
    </row>
    <row r="114" spans="1:15">
      <c r="A114" s="231"/>
      <c r="B114" s="288" t="s">
        <v>37</v>
      </c>
      <c r="C114" s="288" t="s">
        <v>45</v>
      </c>
      <c r="D114" s="288" t="s">
        <v>45</v>
      </c>
      <c r="E114" s="288" t="s">
        <v>45</v>
      </c>
      <c r="F114" s="288" t="s">
        <v>45</v>
      </c>
      <c r="G114" s="288" t="s">
        <v>45</v>
      </c>
      <c r="H114" s="288" t="s">
        <v>45</v>
      </c>
      <c r="I114" s="288" t="s">
        <v>45</v>
      </c>
      <c r="J114" s="288" t="s">
        <v>45</v>
      </c>
      <c r="K114" s="288" t="s">
        <v>45</v>
      </c>
      <c r="L114" s="288" t="s">
        <v>45</v>
      </c>
      <c r="M114" s="288" t="s">
        <v>45</v>
      </c>
      <c r="N114" s="288" t="s">
        <v>45</v>
      </c>
      <c r="O114" s="53">
        <f t="shared" si="1"/>
        <v>0</v>
      </c>
    </row>
    <row r="115" spans="1:15">
      <c r="A115" s="231"/>
      <c r="B115" s="288" t="s">
        <v>38</v>
      </c>
      <c r="C115" s="231">
        <v>63.9</v>
      </c>
      <c r="D115" s="231">
        <v>91.7</v>
      </c>
      <c r="E115" s="231">
        <v>54.6</v>
      </c>
      <c r="F115" s="231">
        <v>50.5</v>
      </c>
      <c r="G115" s="231">
        <v>38.299999999999997</v>
      </c>
      <c r="H115" s="231">
        <v>16.399999999999999</v>
      </c>
      <c r="I115" s="288" t="s">
        <v>45</v>
      </c>
      <c r="J115" s="231">
        <v>27.2</v>
      </c>
      <c r="K115" s="231">
        <v>11</v>
      </c>
      <c r="L115" s="231">
        <v>17.5</v>
      </c>
      <c r="M115" s="231">
        <v>30.2</v>
      </c>
      <c r="N115" s="231">
        <v>55.1</v>
      </c>
      <c r="O115" s="53">
        <f t="shared" si="1"/>
        <v>456.4</v>
      </c>
    </row>
    <row r="116" spans="1:15">
      <c r="A116" s="231"/>
      <c r="B116" s="288" t="s">
        <v>39</v>
      </c>
      <c r="C116" s="231">
        <v>69.5</v>
      </c>
      <c r="D116" s="231">
        <v>123</v>
      </c>
      <c r="E116" s="231">
        <v>43.3</v>
      </c>
      <c r="F116" s="231">
        <v>32.5</v>
      </c>
      <c r="G116" s="231">
        <v>7.2</v>
      </c>
      <c r="H116" s="231">
        <v>4.0999999999999996</v>
      </c>
      <c r="I116" s="231">
        <v>3.7</v>
      </c>
      <c r="J116" s="231">
        <v>3.8</v>
      </c>
      <c r="K116" s="231">
        <v>2.7</v>
      </c>
      <c r="L116" s="231">
        <v>5.3</v>
      </c>
      <c r="M116" s="288" t="s">
        <v>45</v>
      </c>
      <c r="N116" s="231">
        <v>129.69999999999999</v>
      </c>
      <c r="O116" s="53">
        <f t="shared" si="1"/>
        <v>424.8</v>
      </c>
    </row>
    <row r="117" spans="1:15">
      <c r="A117" s="231"/>
      <c r="B117" s="288" t="s">
        <v>40</v>
      </c>
      <c r="C117" s="288" t="s">
        <v>45</v>
      </c>
      <c r="D117" s="288" t="s">
        <v>45</v>
      </c>
      <c r="E117" s="288" t="s">
        <v>45</v>
      </c>
      <c r="F117" s="288" t="s">
        <v>45</v>
      </c>
      <c r="G117" s="288" t="s">
        <v>45</v>
      </c>
      <c r="H117" s="288" t="s">
        <v>45</v>
      </c>
      <c r="I117" s="288" t="s">
        <v>45</v>
      </c>
      <c r="J117" s="288" t="s">
        <v>45</v>
      </c>
      <c r="K117" s="288" t="s">
        <v>45</v>
      </c>
      <c r="L117" s="288" t="s">
        <v>45</v>
      </c>
      <c r="M117" s="288" t="s">
        <v>45</v>
      </c>
      <c r="N117" s="288" t="s">
        <v>45</v>
      </c>
      <c r="O117" s="53">
        <f t="shared" si="1"/>
        <v>0</v>
      </c>
    </row>
    <row r="118" spans="1:15">
      <c r="A118" s="231"/>
      <c r="B118" s="288" t="s">
        <v>41</v>
      </c>
      <c r="C118" s="231">
        <v>1782.5989999999999</v>
      </c>
      <c r="D118" s="231">
        <v>1715.3951</v>
      </c>
      <c r="E118" s="231">
        <v>828.96360000000004</v>
      </c>
      <c r="F118" s="231">
        <v>622.48580000000004</v>
      </c>
      <c r="G118" s="231">
        <v>383.40649999999999</v>
      </c>
      <c r="H118" s="231">
        <v>193.04910000000001</v>
      </c>
      <c r="I118" s="231">
        <v>117.0581</v>
      </c>
      <c r="J118" s="231">
        <v>186.38140000000001</v>
      </c>
      <c r="K118" s="231">
        <v>168.30850000000001</v>
      </c>
      <c r="L118" s="231">
        <v>339.07740000000001</v>
      </c>
      <c r="M118" s="231">
        <v>602.68889999999999</v>
      </c>
      <c r="N118" s="231">
        <v>839.02809999999999</v>
      </c>
      <c r="O118" s="53">
        <f t="shared" si="1"/>
        <v>7778.4415000000008</v>
      </c>
    </row>
    <row r="119" spans="1:15">
      <c r="A119" s="8"/>
      <c r="B119" s="9" t="s">
        <v>42</v>
      </c>
      <c r="C119" s="8">
        <v>3116.9062999999996</v>
      </c>
      <c r="D119" s="8">
        <v>3164.3669999999993</v>
      </c>
      <c r="E119" s="8">
        <v>1933.8880999999997</v>
      </c>
      <c r="F119" s="8">
        <v>1649.7551000000001</v>
      </c>
      <c r="G119" s="8">
        <v>1564.8577999999998</v>
      </c>
      <c r="H119" s="8">
        <v>916.59230000000002</v>
      </c>
      <c r="I119" s="8">
        <v>728.58889999999997</v>
      </c>
      <c r="J119" s="8">
        <v>1115.5626999999999</v>
      </c>
      <c r="K119" s="8">
        <v>839.50639999999999</v>
      </c>
      <c r="L119" s="8">
        <v>1112.2071000000001</v>
      </c>
      <c r="M119" s="8">
        <v>972.21100000000001</v>
      </c>
      <c r="N119" s="8">
        <v>2324.1286</v>
      </c>
      <c r="O119" s="53">
        <f t="shared" si="1"/>
        <v>19438.5713</v>
      </c>
    </row>
    <row r="120" spans="1:15">
      <c r="A120" s="231"/>
      <c r="B120" s="288"/>
      <c r="C120" s="231"/>
      <c r="D120" s="231"/>
      <c r="E120" s="231"/>
      <c r="F120" s="231"/>
      <c r="G120" s="231"/>
      <c r="H120" s="231"/>
      <c r="I120" s="231"/>
      <c r="J120" s="231"/>
      <c r="K120" s="231"/>
      <c r="L120" s="231"/>
      <c r="M120" s="231"/>
      <c r="N120" s="231"/>
      <c r="O120" s="53"/>
    </row>
    <row r="121" spans="1:15">
      <c r="A121" s="288" t="s">
        <v>49</v>
      </c>
      <c r="B121" s="288" t="s">
        <v>26</v>
      </c>
      <c r="C121" s="231">
        <v>71358.578099999999</v>
      </c>
      <c r="D121" s="231">
        <v>95304.093700000012</v>
      </c>
      <c r="E121" s="231">
        <v>66323.636900000012</v>
      </c>
      <c r="F121" s="231">
        <v>44820.558299999997</v>
      </c>
      <c r="G121" s="231">
        <v>34714.1345</v>
      </c>
      <c r="H121" s="231">
        <v>18449.495900000002</v>
      </c>
      <c r="I121" s="231">
        <v>17950.527600000001</v>
      </c>
      <c r="J121" s="231">
        <v>18985.694900000002</v>
      </c>
      <c r="K121" s="231">
        <v>17176.9859</v>
      </c>
      <c r="L121" s="231">
        <v>20580.738099999999</v>
      </c>
      <c r="M121" s="231">
        <v>35242.180700000004</v>
      </c>
      <c r="N121" s="231">
        <v>61522.198099999994</v>
      </c>
      <c r="O121" s="53">
        <f t="shared" si="1"/>
        <v>502428.82270000002</v>
      </c>
    </row>
    <row r="122" spans="1:15">
      <c r="A122" s="231"/>
      <c r="B122" s="288" t="s">
        <v>27</v>
      </c>
      <c r="C122" s="231">
        <v>18057.924299999999</v>
      </c>
      <c r="D122" s="231">
        <v>23106.5141</v>
      </c>
      <c r="E122" s="231">
        <v>12427.898099999999</v>
      </c>
      <c r="F122" s="231">
        <v>10862.996299999999</v>
      </c>
      <c r="G122" s="231">
        <v>10516.886700000001</v>
      </c>
      <c r="H122" s="231">
        <v>3343.2433999999998</v>
      </c>
      <c r="I122" s="231">
        <v>4379.1453999999994</v>
      </c>
      <c r="J122" s="231">
        <v>3829.4913999999999</v>
      </c>
      <c r="K122" s="231">
        <v>3973.6601000000001</v>
      </c>
      <c r="L122" s="231">
        <v>6875.4310999999998</v>
      </c>
      <c r="M122" s="231">
        <v>14761.5612</v>
      </c>
      <c r="N122" s="231">
        <v>16135.3559</v>
      </c>
      <c r="O122" s="53">
        <f t="shared" si="1"/>
        <v>128270.10799999998</v>
      </c>
    </row>
    <row r="123" spans="1:15">
      <c r="A123" s="231"/>
      <c r="B123" s="294" t="s">
        <v>28</v>
      </c>
      <c r="C123" s="293">
        <v>115590.25109999999</v>
      </c>
      <c r="D123" s="293">
        <v>171400.70249999998</v>
      </c>
      <c r="E123" s="293">
        <v>118569.84860000001</v>
      </c>
      <c r="F123" s="293">
        <v>82166.432299999986</v>
      </c>
      <c r="G123" s="293">
        <v>64885.019800000002</v>
      </c>
      <c r="H123" s="293">
        <v>68090.066699999996</v>
      </c>
      <c r="I123" s="293">
        <v>76617.0533</v>
      </c>
      <c r="J123" s="293">
        <v>77881.801699999996</v>
      </c>
      <c r="K123" s="293">
        <v>86851.725200000001</v>
      </c>
      <c r="L123" s="293">
        <v>88062.752600000007</v>
      </c>
      <c r="M123" s="293">
        <v>88803.631000000008</v>
      </c>
      <c r="N123" s="293">
        <v>139629.40300000002</v>
      </c>
      <c r="O123" s="54">
        <f t="shared" si="1"/>
        <v>1178548.6878</v>
      </c>
    </row>
    <row r="124" spans="1:15">
      <c r="A124" s="231"/>
      <c r="B124" s="288" t="s">
        <v>29</v>
      </c>
      <c r="C124" s="231">
        <v>110943.84390000001</v>
      </c>
      <c r="D124" s="231">
        <v>155245.64120000001</v>
      </c>
      <c r="E124" s="231">
        <v>90248.829199999978</v>
      </c>
      <c r="F124" s="231">
        <v>74414.626699999993</v>
      </c>
      <c r="G124" s="231">
        <v>47644.622499999998</v>
      </c>
      <c r="H124" s="231">
        <v>43292.606999999996</v>
      </c>
      <c r="I124" s="231">
        <v>57720.356700000004</v>
      </c>
      <c r="J124" s="231">
        <v>48860.7912</v>
      </c>
      <c r="K124" s="231">
        <v>47229.605900000002</v>
      </c>
      <c r="L124" s="231">
        <v>51998.926200000002</v>
      </c>
      <c r="M124" s="231">
        <v>92682.513399999996</v>
      </c>
      <c r="N124" s="231">
        <v>116809.7144</v>
      </c>
      <c r="O124" s="53">
        <f t="shared" si="1"/>
        <v>937092.07829999994</v>
      </c>
    </row>
    <row r="125" spans="1:15">
      <c r="A125" s="231"/>
      <c r="B125" s="288" t="s">
        <v>30</v>
      </c>
      <c r="C125" s="231">
        <v>11004.413500000001</v>
      </c>
      <c r="D125" s="231">
        <v>14003.616600000001</v>
      </c>
      <c r="E125" s="231">
        <v>12745.7649</v>
      </c>
      <c r="F125" s="231">
        <v>5836.5763999999999</v>
      </c>
      <c r="G125" s="231">
        <v>5520.2871999999998</v>
      </c>
      <c r="H125" s="231">
        <v>4737.9804999999997</v>
      </c>
      <c r="I125" s="231">
        <v>2470.0995999999996</v>
      </c>
      <c r="J125" s="231">
        <v>2496.2227000000003</v>
      </c>
      <c r="K125" s="231">
        <v>2047.7455</v>
      </c>
      <c r="L125" s="231">
        <v>2540.8432000000003</v>
      </c>
      <c r="M125" s="231">
        <v>6733.4117999999999</v>
      </c>
      <c r="N125" s="231">
        <v>60859.857699999993</v>
      </c>
      <c r="O125" s="53">
        <f t="shared" si="1"/>
        <v>130996.81959999999</v>
      </c>
    </row>
    <row r="126" spans="1:15">
      <c r="A126" s="231"/>
      <c r="B126" s="288" t="s">
        <v>31</v>
      </c>
      <c r="C126" s="231">
        <v>105818.33750000001</v>
      </c>
      <c r="D126" s="231">
        <v>120767.50539999999</v>
      </c>
      <c r="E126" s="231">
        <v>120650.09929999999</v>
      </c>
      <c r="F126" s="231">
        <v>83299.973499999993</v>
      </c>
      <c r="G126" s="231">
        <v>76562.415400000013</v>
      </c>
      <c r="H126" s="231">
        <v>63495.835800000001</v>
      </c>
      <c r="I126" s="231">
        <v>59298.264900000002</v>
      </c>
      <c r="J126" s="231">
        <v>62851.3966</v>
      </c>
      <c r="K126" s="231">
        <v>59711.7428</v>
      </c>
      <c r="L126" s="231">
        <v>60512.941400000003</v>
      </c>
      <c r="M126" s="231">
        <v>66803.218599999993</v>
      </c>
      <c r="N126" s="231">
        <v>99807.975800000015</v>
      </c>
      <c r="O126" s="53">
        <f t="shared" si="1"/>
        <v>979579.70700000005</v>
      </c>
    </row>
    <row r="127" spans="1:15">
      <c r="A127" s="231"/>
      <c r="B127" s="288" t="s">
        <v>32</v>
      </c>
      <c r="C127" s="231">
        <v>97308.775099999999</v>
      </c>
      <c r="D127" s="231">
        <v>90497.925900000002</v>
      </c>
      <c r="E127" s="231">
        <v>61934.326500000003</v>
      </c>
      <c r="F127" s="231">
        <v>62852.928500000002</v>
      </c>
      <c r="G127" s="231">
        <v>31989.488100000002</v>
      </c>
      <c r="H127" s="231">
        <v>22645.553100000001</v>
      </c>
      <c r="I127" s="231">
        <v>24062.533100000001</v>
      </c>
      <c r="J127" s="231">
        <v>20563.3413</v>
      </c>
      <c r="K127" s="231">
        <v>27491.123</v>
      </c>
      <c r="L127" s="231">
        <v>44297.774299999997</v>
      </c>
      <c r="M127" s="231">
        <v>69410.100699999995</v>
      </c>
      <c r="N127" s="231">
        <v>88190.58</v>
      </c>
      <c r="O127" s="53">
        <f t="shared" si="1"/>
        <v>641244.44960000005</v>
      </c>
    </row>
    <row r="128" spans="1:15">
      <c r="A128" s="231"/>
      <c r="B128" s="288" t="s">
        <v>33</v>
      </c>
      <c r="C128" s="231">
        <v>2277.4247999999998</v>
      </c>
      <c r="D128" s="231">
        <v>3031.1674999999996</v>
      </c>
      <c r="E128" s="231">
        <v>2092.91</v>
      </c>
      <c r="F128" s="231">
        <v>1540.5356000000002</v>
      </c>
      <c r="G128" s="231">
        <v>915.28710000000001</v>
      </c>
      <c r="H128" s="231">
        <v>560.91759999999999</v>
      </c>
      <c r="I128" s="231">
        <v>520.15930000000003</v>
      </c>
      <c r="J128" s="231">
        <v>554.89210000000003</v>
      </c>
      <c r="K128" s="231">
        <v>755.41180000000008</v>
      </c>
      <c r="L128" s="231">
        <v>942.30799999999999</v>
      </c>
      <c r="M128" s="231">
        <v>1897.4258</v>
      </c>
      <c r="N128" s="231">
        <v>2078.4784</v>
      </c>
      <c r="O128" s="53">
        <f t="shared" si="1"/>
        <v>17166.917999999998</v>
      </c>
    </row>
    <row r="129" spans="1:15">
      <c r="A129" s="231"/>
      <c r="B129" s="288" t="s">
        <v>34</v>
      </c>
      <c r="C129" s="231">
        <v>18103.759900000005</v>
      </c>
      <c r="D129" s="231">
        <v>20664.861100000002</v>
      </c>
      <c r="E129" s="231">
        <v>13810.4398</v>
      </c>
      <c r="F129" s="231">
        <v>9226.6648000000005</v>
      </c>
      <c r="G129" s="231">
        <v>7347.3909999999996</v>
      </c>
      <c r="H129" s="231">
        <v>3295.4480999999996</v>
      </c>
      <c r="I129" s="231">
        <v>3340.5488</v>
      </c>
      <c r="J129" s="231">
        <v>2679.6387999999997</v>
      </c>
      <c r="K129" s="231">
        <v>1776.1910999999998</v>
      </c>
      <c r="L129" s="231">
        <v>2153.1563999999998</v>
      </c>
      <c r="M129" s="231">
        <v>7939.8062000000009</v>
      </c>
      <c r="N129" s="231">
        <v>10122.325399999998</v>
      </c>
      <c r="O129" s="53">
        <f t="shared" si="1"/>
        <v>100460.2314</v>
      </c>
    </row>
    <row r="130" spans="1:15">
      <c r="A130" s="231"/>
      <c r="B130" s="288" t="s">
        <v>35</v>
      </c>
      <c r="C130" s="231">
        <v>5890.8852000000006</v>
      </c>
      <c r="D130" s="231">
        <v>7342.5859999999993</v>
      </c>
      <c r="E130" s="231">
        <v>3377.0572999999999</v>
      </c>
      <c r="F130" s="231">
        <v>2431.3042</v>
      </c>
      <c r="G130" s="231">
        <v>596.03269999999998</v>
      </c>
      <c r="H130" s="231">
        <v>489.27499999999998</v>
      </c>
      <c r="I130" s="231">
        <v>435.09</v>
      </c>
      <c r="J130" s="231">
        <v>465.70769999999999</v>
      </c>
      <c r="K130" s="231">
        <v>423.72700000000003</v>
      </c>
      <c r="L130" s="231">
        <v>552.17700000000002</v>
      </c>
      <c r="M130" s="231">
        <v>3900.1858999999999</v>
      </c>
      <c r="N130" s="231">
        <v>4630.1725999999999</v>
      </c>
      <c r="O130" s="53">
        <f t="shared" si="1"/>
        <v>30534.200599999996</v>
      </c>
    </row>
    <row r="131" spans="1:15">
      <c r="A131" s="231"/>
      <c r="B131" s="288" t="s">
        <v>36</v>
      </c>
      <c r="C131" s="231">
        <v>70596.88519999999</v>
      </c>
      <c r="D131" s="231">
        <v>86193.813899999994</v>
      </c>
      <c r="E131" s="231">
        <v>68566.886299999998</v>
      </c>
      <c r="F131" s="231">
        <v>45861.058699999994</v>
      </c>
      <c r="G131" s="231">
        <v>35626.575400000002</v>
      </c>
      <c r="H131" s="231">
        <v>29178.872199999998</v>
      </c>
      <c r="I131" s="231">
        <v>32021.020099999998</v>
      </c>
      <c r="J131" s="231">
        <v>34166.268600000003</v>
      </c>
      <c r="K131" s="231">
        <v>31712.16</v>
      </c>
      <c r="L131" s="231">
        <v>34362.4758</v>
      </c>
      <c r="M131" s="231">
        <v>45785.933399999994</v>
      </c>
      <c r="N131" s="231">
        <v>66271.3361</v>
      </c>
      <c r="O131" s="53">
        <f t="shared" si="1"/>
        <v>580343.28570000001</v>
      </c>
    </row>
    <row r="132" spans="1:15">
      <c r="A132" s="231"/>
      <c r="B132" s="288" t="s">
        <v>37</v>
      </c>
      <c r="C132" s="231">
        <v>3317.7</v>
      </c>
      <c r="D132" s="231">
        <v>4447.3</v>
      </c>
      <c r="E132" s="231">
        <v>2485.6</v>
      </c>
      <c r="F132" s="231">
        <v>1831.8</v>
      </c>
      <c r="G132" s="231">
        <v>712.2</v>
      </c>
      <c r="H132" s="231">
        <v>414.7</v>
      </c>
      <c r="I132" s="231">
        <v>727</v>
      </c>
      <c r="J132" s="231">
        <v>542.4</v>
      </c>
      <c r="K132" s="231">
        <v>515.4</v>
      </c>
      <c r="L132" s="231">
        <v>678.02760000000001</v>
      </c>
      <c r="M132" s="231">
        <v>2287.5879</v>
      </c>
      <c r="N132" s="231">
        <v>2914.7456999999999</v>
      </c>
      <c r="O132" s="53">
        <f t="shared" si="1"/>
        <v>20874.461199999998</v>
      </c>
    </row>
    <row r="133" spans="1:15">
      <c r="A133" s="231"/>
      <c r="B133" s="288" t="s">
        <v>38</v>
      </c>
      <c r="C133" s="231">
        <v>64093.942199999998</v>
      </c>
      <c r="D133" s="231">
        <v>101413.274</v>
      </c>
      <c r="E133" s="231">
        <v>57589.066099999996</v>
      </c>
      <c r="F133" s="231">
        <v>86058.814500000008</v>
      </c>
      <c r="G133" s="231">
        <v>57644.544699999999</v>
      </c>
      <c r="H133" s="231">
        <v>65113.539599999996</v>
      </c>
      <c r="I133" s="231">
        <v>36681.272299999997</v>
      </c>
      <c r="J133" s="231">
        <v>51398.678199999995</v>
      </c>
      <c r="K133" s="231">
        <v>45956.407899999998</v>
      </c>
      <c r="L133" s="231">
        <v>51426.746299999999</v>
      </c>
      <c r="M133" s="231">
        <v>67063.331399999995</v>
      </c>
      <c r="N133" s="231">
        <v>54813.747100000001</v>
      </c>
      <c r="O133" s="53">
        <f t="shared" si="1"/>
        <v>739253.36430000013</v>
      </c>
    </row>
    <row r="134" spans="1:15">
      <c r="A134" s="231"/>
      <c r="B134" s="288" t="s">
        <v>39</v>
      </c>
      <c r="C134" s="231">
        <v>85409.000800000009</v>
      </c>
      <c r="D134" s="231">
        <v>117689.71179999999</v>
      </c>
      <c r="E134" s="231">
        <v>89819.130500000014</v>
      </c>
      <c r="F134" s="231">
        <v>62822.417999999998</v>
      </c>
      <c r="G134" s="231">
        <v>38714.8246</v>
      </c>
      <c r="H134" s="231">
        <v>40872.205699999999</v>
      </c>
      <c r="I134" s="231">
        <v>43158.248999999996</v>
      </c>
      <c r="J134" s="231">
        <v>22292.722299999998</v>
      </c>
      <c r="K134" s="231">
        <v>33457.276299999998</v>
      </c>
      <c r="L134" s="231">
        <v>35758.863499999999</v>
      </c>
      <c r="M134" s="231">
        <v>38449.655899999998</v>
      </c>
      <c r="N134" s="231">
        <v>90001.049199999994</v>
      </c>
      <c r="O134" s="53">
        <f t="shared" si="1"/>
        <v>698445.10759999999</v>
      </c>
    </row>
    <row r="135" spans="1:15">
      <c r="A135" s="231"/>
      <c r="B135" s="288" t="s">
        <v>40</v>
      </c>
      <c r="C135" s="231">
        <v>8709.9390000000003</v>
      </c>
      <c r="D135" s="231">
        <v>11726.637000000001</v>
      </c>
      <c r="E135" s="231">
        <v>8882.3307999999997</v>
      </c>
      <c r="F135" s="231">
        <v>6582.6507999999994</v>
      </c>
      <c r="G135" s="231">
        <v>2738.9351999999999</v>
      </c>
      <c r="H135" s="231">
        <v>1785.0889</v>
      </c>
      <c r="I135" s="231">
        <v>3232.3523</v>
      </c>
      <c r="J135" s="231">
        <v>1848.9901</v>
      </c>
      <c r="K135" s="231">
        <v>1980.4522000000002</v>
      </c>
      <c r="L135" s="231">
        <v>2125.6860999999999</v>
      </c>
      <c r="M135" s="231">
        <v>4846.6212999999998</v>
      </c>
      <c r="N135" s="231">
        <v>6793.6324000000004</v>
      </c>
      <c r="O135" s="53">
        <f t="shared" si="1"/>
        <v>61253.316100000004</v>
      </c>
    </row>
    <row r="136" spans="1:15">
      <c r="A136" s="231"/>
      <c r="B136" s="288" t="s">
        <v>41</v>
      </c>
      <c r="C136" s="231">
        <v>90825.989100000006</v>
      </c>
      <c r="D136" s="231">
        <v>107794.3072</v>
      </c>
      <c r="E136" s="231">
        <v>93772.369100000011</v>
      </c>
      <c r="F136" s="231">
        <v>75828.182000000001</v>
      </c>
      <c r="G136" s="231">
        <v>58890.742199999993</v>
      </c>
      <c r="H136" s="231">
        <v>56075.714099999997</v>
      </c>
      <c r="I136" s="231">
        <v>44830.057400000005</v>
      </c>
      <c r="J136" s="231">
        <v>58074.011199999994</v>
      </c>
      <c r="K136" s="231">
        <v>43221.753299999997</v>
      </c>
      <c r="L136" s="231">
        <v>43733.773699999998</v>
      </c>
      <c r="M136" s="231">
        <v>53335.5213</v>
      </c>
      <c r="N136" s="231">
        <v>88680.779599999994</v>
      </c>
      <c r="O136" s="53">
        <f t="shared" si="1"/>
        <v>815063.20019999996</v>
      </c>
    </row>
    <row r="137" spans="1:15">
      <c r="A137" s="8"/>
      <c r="B137" s="9" t="s">
        <v>42</v>
      </c>
      <c r="C137" s="8">
        <v>879307.64969999995</v>
      </c>
      <c r="D137" s="8">
        <v>1130629.6579</v>
      </c>
      <c r="E137" s="8">
        <v>823296.19339999987</v>
      </c>
      <c r="F137" s="8">
        <v>656437.52059999993</v>
      </c>
      <c r="G137" s="8">
        <v>475019.38709999999</v>
      </c>
      <c r="H137" s="8">
        <v>421840.54360000003</v>
      </c>
      <c r="I137" s="8">
        <v>407443.72979999997</v>
      </c>
      <c r="J137" s="8">
        <v>407492.04880000005</v>
      </c>
      <c r="K137" s="8">
        <v>404281.36799999996</v>
      </c>
      <c r="L137" s="8">
        <v>446602.62129999994</v>
      </c>
      <c r="M137" s="8">
        <v>599942.68650000007</v>
      </c>
      <c r="N137" s="8">
        <v>909261.35140000004</v>
      </c>
      <c r="O137" s="53">
        <f t="shared" si="1"/>
        <v>7561554.7580999993</v>
      </c>
    </row>
  </sheetData>
  <mergeCells count="1">
    <mergeCell ref="C10:N10"/>
  </mergeCells>
  <pageMargins left="0.7" right="0.7" top="0.75" bottom="0.75" header="0.3" footer="0.3"/>
  <pageSetup orientation="portrait" horizontalDpi="4294967293" verticalDpi="0" r:id="rId1"/>
</worksheet>
</file>

<file path=xl/worksheets/sheet21.xml><?xml version="1.0" encoding="utf-8"?>
<worksheet xmlns="http://schemas.openxmlformats.org/spreadsheetml/2006/main" xmlns:r="http://schemas.openxmlformats.org/officeDocument/2006/relationships">
  <dimension ref="A1:O137"/>
  <sheetViews>
    <sheetView topLeftCell="B76" zoomScale="80" zoomScaleNormal="80" workbookViewId="0">
      <selection activeCell="A2" sqref="A2:XFD2"/>
    </sheetView>
  </sheetViews>
  <sheetFormatPr defaultRowHeight="15"/>
  <cols>
    <col min="1" max="1" width="39.5703125" customWidth="1"/>
    <col min="2" max="2" width="35.5703125" bestFit="1" customWidth="1"/>
    <col min="3" max="8" width="15.140625" bestFit="1" customWidth="1"/>
    <col min="9" max="14" width="10.7109375" customWidth="1"/>
    <col min="15" max="15" width="11.28515625" style="1" bestFit="1" customWidth="1"/>
  </cols>
  <sheetData>
    <row r="1" spans="1:15" s="697" customFormat="1">
      <c r="A1" s="74" t="s">
        <v>2251</v>
      </c>
      <c r="O1" s="700"/>
    </row>
    <row r="2" spans="1:15" s="697" customFormat="1">
      <c r="A2" s="707"/>
      <c r="O2" s="700"/>
    </row>
    <row r="3" spans="1:15">
      <c r="A3" s="3" t="s">
        <v>3</v>
      </c>
      <c r="B3" s="12"/>
      <c r="C3" s="12"/>
      <c r="D3" s="12"/>
      <c r="E3" s="12"/>
      <c r="F3" s="12"/>
      <c r="G3" s="12"/>
      <c r="H3" s="12"/>
      <c r="I3" s="12"/>
    </row>
    <row r="4" spans="1:15">
      <c r="A4" s="4" t="s">
        <v>4</v>
      </c>
    </row>
    <row r="5" spans="1:15">
      <c r="A5" s="4" t="s">
        <v>5</v>
      </c>
    </row>
    <row r="6" spans="1:15">
      <c r="A6" s="4" t="s">
        <v>6</v>
      </c>
    </row>
    <row r="7" spans="1:15">
      <c r="A7" s="4" t="s">
        <v>7</v>
      </c>
    </row>
    <row r="8" spans="1:15">
      <c r="A8" s="4" t="s">
        <v>8</v>
      </c>
    </row>
    <row r="9" spans="1:15">
      <c r="A9" s="4" t="s">
        <v>9</v>
      </c>
    </row>
    <row r="10" spans="1:15" ht="15.75">
      <c r="C10" s="1141" t="s">
        <v>885</v>
      </c>
      <c r="D10" s="1141"/>
      <c r="E10" s="1141"/>
      <c r="F10" s="1141"/>
      <c r="G10" s="1141"/>
      <c r="H10" s="1141"/>
      <c r="I10" s="1141"/>
      <c r="J10" s="1141"/>
      <c r="K10" s="1141"/>
      <c r="L10" s="1141"/>
      <c r="M10" s="1141"/>
      <c r="N10" s="1141"/>
    </row>
    <row r="11" spans="1:15">
      <c r="C11" s="4" t="s">
        <v>11</v>
      </c>
      <c r="D11" s="4" t="s">
        <v>12</v>
      </c>
      <c r="E11" s="4" t="s">
        <v>13</v>
      </c>
      <c r="F11" s="4" t="s">
        <v>14</v>
      </c>
      <c r="G11" s="4" t="s">
        <v>15</v>
      </c>
      <c r="H11" s="4" t="s">
        <v>16</v>
      </c>
      <c r="I11" s="4" t="s">
        <v>17</v>
      </c>
      <c r="J11" s="4" t="s">
        <v>18</v>
      </c>
      <c r="K11" s="4" t="s">
        <v>19</v>
      </c>
      <c r="L11" s="4" t="s">
        <v>20</v>
      </c>
      <c r="M11" s="4" t="s">
        <v>21</v>
      </c>
      <c r="N11" s="4" t="s">
        <v>22</v>
      </c>
      <c r="O11" s="10" t="s">
        <v>50</v>
      </c>
    </row>
    <row r="12" spans="1:15">
      <c r="C12" s="291" t="s">
        <v>886</v>
      </c>
      <c r="D12" s="291" t="s">
        <v>886</v>
      </c>
      <c r="E12" s="291" t="s">
        <v>886</v>
      </c>
      <c r="F12" s="291" t="s">
        <v>886</v>
      </c>
      <c r="G12" s="291" t="s">
        <v>886</v>
      </c>
      <c r="H12" s="291" t="s">
        <v>886</v>
      </c>
      <c r="I12" s="291" t="s">
        <v>886</v>
      </c>
      <c r="J12" s="291" t="s">
        <v>886</v>
      </c>
      <c r="K12" s="291" t="s">
        <v>886</v>
      </c>
      <c r="L12" s="291" t="s">
        <v>883</v>
      </c>
      <c r="M12" s="291" t="s">
        <v>883</v>
      </c>
      <c r="N12" s="291" t="s">
        <v>883</v>
      </c>
    </row>
    <row r="13" spans="1:15" s="7" customFormat="1">
      <c r="A13" s="6" t="s">
        <v>25</v>
      </c>
      <c r="B13" s="6" t="s">
        <v>26</v>
      </c>
      <c r="C13" s="7">
        <v>19869.599999999999</v>
      </c>
      <c r="D13" s="7">
        <v>16069.6</v>
      </c>
      <c r="E13" s="7">
        <v>15732.3</v>
      </c>
      <c r="F13" s="7">
        <v>9780.7999999999993</v>
      </c>
      <c r="G13" s="7">
        <v>3968.2</v>
      </c>
      <c r="H13" s="7">
        <v>3198.3</v>
      </c>
      <c r="I13" s="7">
        <v>2008.7</v>
      </c>
      <c r="J13" s="7">
        <v>1843.9</v>
      </c>
      <c r="K13" s="7">
        <v>1618.3</v>
      </c>
      <c r="L13" s="288">
        <v>3352.6</v>
      </c>
      <c r="M13" s="288">
        <v>7978.8</v>
      </c>
      <c r="N13" s="288">
        <v>13114.9</v>
      </c>
      <c r="O13" s="53">
        <f>SUM(C13:N13)</f>
        <v>98536</v>
      </c>
    </row>
    <row r="14" spans="1:15" s="7" customFormat="1">
      <c r="B14" s="6" t="s">
        <v>27</v>
      </c>
      <c r="C14" s="7">
        <v>282.60000000000002</v>
      </c>
      <c r="D14" s="7">
        <v>301.7</v>
      </c>
      <c r="E14" s="7">
        <v>282.60000000000002</v>
      </c>
      <c r="F14" s="7">
        <v>88.3</v>
      </c>
      <c r="G14" s="7">
        <v>86.3</v>
      </c>
      <c r="H14" s="7">
        <v>19.399999999999999</v>
      </c>
      <c r="I14" s="7">
        <v>35.700000000000003</v>
      </c>
      <c r="J14" s="7">
        <v>23.6</v>
      </c>
      <c r="K14" s="7">
        <v>24.5</v>
      </c>
      <c r="L14" s="288">
        <v>106.1</v>
      </c>
      <c r="M14" s="288">
        <v>244.6</v>
      </c>
      <c r="N14" s="288">
        <v>296.7</v>
      </c>
      <c r="O14" s="53">
        <f t="shared" ref="O14:O77" si="0">SUM(C14:N14)</f>
        <v>1792.1</v>
      </c>
    </row>
    <row r="15" spans="1:15" s="7" customFormat="1">
      <c r="B15" s="19" t="s">
        <v>28</v>
      </c>
      <c r="C15" s="20">
        <v>36831.213300000003</v>
      </c>
      <c r="D15" s="20">
        <v>35153.455000000002</v>
      </c>
      <c r="E15" s="20">
        <v>31187.912099999998</v>
      </c>
      <c r="F15" s="20">
        <v>15546.250900000001</v>
      </c>
      <c r="G15" s="20">
        <v>9904.1728000000003</v>
      </c>
      <c r="H15" s="20">
        <v>6302.4161000000004</v>
      </c>
      <c r="I15" s="20">
        <v>4420.3019999999997</v>
      </c>
      <c r="J15" s="20">
        <v>4565.924500000001</v>
      </c>
      <c r="K15" s="20">
        <v>5092.1939000000002</v>
      </c>
      <c r="L15" s="294">
        <v>11010.0779</v>
      </c>
      <c r="M15" s="294">
        <v>21776.653699999999</v>
      </c>
      <c r="N15" s="294">
        <v>29636.906800000004</v>
      </c>
      <c r="O15" s="54">
        <f t="shared" si="0"/>
        <v>211427.47899999999</v>
      </c>
    </row>
    <row r="16" spans="1:15" s="7" customFormat="1">
      <c r="B16" s="6" t="s">
        <v>29</v>
      </c>
      <c r="C16" s="7">
        <v>37092.300000000003</v>
      </c>
      <c r="D16" s="7">
        <v>35058.9</v>
      </c>
      <c r="E16" s="7">
        <v>27305.5</v>
      </c>
      <c r="F16" s="7">
        <v>13241</v>
      </c>
      <c r="G16" s="7">
        <v>9352.2999999999993</v>
      </c>
      <c r="H16" s="7">
        <v>2723.8</v>
      </c>
      <c r="I16" s="7">
        <v>3288.2</v>
      </c>
      <c r="J16" s="7">
        <v>2914</v>
      </c>
      <c r="K16" s="7">
        <v>2822.6</v>
      </c>
      <c r="L16" s="288">
        <v>9292.7000000000007</v>
      </c>
      <c r="M16" s="288">
        <v>22338.9</v>
      </c>
      <c r="N16" s="288">
        <v>28114.2</v>
      </c>
      <c r="O16" s="53">
        <f t="shared" si="0"/>
        <v>193544.40000000002</v>
      </c>
    </row>
    <row r="17" spans="1:15" s="7" customFormat="1">
      <c r="B17" s="6" t="s">
        <v>30</v>
      </c>
      <c r="C17" s="7">
        <v>2086.1999999999998</v>
      </c>
      <c r="D17" s="7">
        <v>1639</v>
      </c>
      <c r="E17" s="7">
        <v>1822.9</v>
      </c>
      <c r="F17" s="7">
        <v>983.3</v>
      </c>
      <c r="G17" s="7">
        <v>431</v>
      </c>
      <c r="H17" s="7">
        <v>297.5</v>
      </c>
      <c r="I17" s="7">
        <v>317.3</v>
      </c>
      <c r="J17" s="7">
        <v>223.2</v>
      </c>
      <c r="K17" s="7">
        <v>121.1</v>
      </c>
      <c r="L17" s="288">
        <v>268.2</v>
      </c>
      <c r="M17" s="288">
        <v>900.5</v>
      </c>
      <c r="N17" s="288">
        <v>1193.2</v>
      </c>
      <c r="O17" s="53">
        <f t="shared" si="0"/>
        <v>10283.400000000001</v>
      </c>
    </row>
    <row r="18" spans="1:15" s="7" customFormat="1">
      <c r="B18" s="6" t="s">
        <v>31</v>
      </c>
      <c r="C18" s="7">
        <v>24529.139500000001</v>
      </c>
      <c r="D18" s="7">
        <v>16638.582200000001</v>
      </c>
      <c r="E18" s="7">
        <v>20354.89</v>
      </c>
      <c r="F18" s="7">
        <v>12208.092600000002</v>
      </c>
      <c r="G18" s="7">
        <v>5472.9068000000007</v>
      </c>
      <c r="H18" s="7">
        <v>4692.6869999999999</v>
      </c>
      <c r="I18" s="7">
        <v>2437.4594999999999</v>
      </c>
      <c r="J18" s="7">
        <v>2742.6592999999998</v>
      </c>
      <c r="K18" s="7">
        <v>2213.9354000000003</v>
      </c>
      <c r="L18" s="288">
        <v>3643.0030999999999</v>
      </c>
      <c r="M18" s="288">
        <v>8870.0884999999998</v>
      </c>
      <c r="N18" s="288">
        <v>13720.082200000001</v>
      </c>
      <c r="O18" s="53">
        <f t="shared" si="0"/>
        <v>117523.5261</v>
      </c>
    </row>
    <row r="19" spans="1:15" s="7" customFormat="1">
      <c r="B19" s="6" t="s">
        <v>32</v>
      </c>
      <c r="C19" s="7">
        <v>31.2</v>
      </c>
      <c r="D19" s="7">
        <v>22.4</v>
      </c>
      <c r="E19" s="7">
        <v>19.899999999999999</v>
      </c>
      <c r="F19" s="7">
        <v>10.8</v>
      </c>
      <c r="G19" s="7">
        <v>2.2999999999999998</v>
      </c>
      <c r="H19" s="7">
        <v>1.1000000000000001</v>
      </c>
      <c r="I19" s="7">
        <v>0</v>
      </c>
      <c r="J19" s="7">
        <v>0</v>
      </c>
      <c r="K19" s="7">
        <v>0.1</v>
      </c>
      <c r="L19" s="288">
        <v>535.25570000000005</v>
      </c>
      <c r="M19" s="288">
        <v>1314.8072999999999</v>
      </c>
      <c r="N19" s="288">
        <v>2110.9349000000002</v>
      </c>
      <c r="O19" s="53">
        <f t="shared" si="0"/>
        <v>4048.7979</v>
      </c>
    </row>
    <row r="20" spans="1:15" s="7" customFormat="1">
      <c r="B20" s="6" t="s">
        <v>33</v>
      </c>
      <c r="C20" s="7">
        <v>742.3</v>
      </c>
      <c r="D20" s="7">
        <v>704</v>
      </c>
      <c r="E20" s="7">
        <v>653.20000000000005</v>
      </c>
      <c r="F20" s="7">
        <v>225</v>
      </c>
      <c r="G20" s="7">
        <v>160.19999999999999</v>
      </c>
      <c r="H20" s="7">
        <v>49.3</v>
      </c>
      <c r="I20" s="7">
        <v>48.2</v>
      </c>
      <c r="J20" s="7">
        <v>38.1</v>
      </c>
      <c r="K20" s="7">
        <v>60.7</v>
      </c>
      <c r="L20" s="288">
        <v>272.89999999999998</v>
      </c>
      <c r="M20" s="288">
        <v>473.3</v>
      </c>
      <c r="N20" s="288">
        <v>564.70000000000005</v>
      </c>
      <c r="O20" s="53">
        <f t="shared" si="0"/>
        <v>3991.8999999999996</v>
      </c>
    </row>
    <row r="21" spans="1:15" s="7" customFormat="1">
      <c r="B21" s="6" t="s">
        <v>34</v>
      </c>
      <c r="C21" s="7">
        <v>4571.2858999999999</v>
      </c>
      <c r="D21" s="7">
        <v>4246.5541999999996</v>
      </c>
      <c r="E21" s="7">
        <v>3469.0785999999998</v>
      </c>
      <c r="F21" s="7">
        <v>1467.7874999999999</v>
      </c>
      <c r="G21" s="7">
        <v>1008.3077999999999</v>
      </c>
      <c r="H21" s="7">
        <v>580.24789999999996</v>
      </c>
      <c r="I21" s="7">
        <v>419.62399999999997</v>
      </c>
      <c r="J21" s="7">
        <v>429.74790000000002</v>
      </c>
      <c r="K21" s="7">
        <v>487.12399999999997</v>
      </c>
      <c r="L21" s="288">
        <v>1324.0479</v>
      </c>
      <c r="M21" s="288">
        <v>2669.5958000000001</v>
      </c>
      <c r="N21" s="288">
        <v>3610.1917000000003</v>
      </c>
      <c r="O21" s="53">
        <f t="shared" si="0"/>
        <v>24283.593199999999</v>
      </c>
    </row>
    <row r="22" spans="1:15" s="7" customFormat="1">
      <c r="B22" s="6" t="s">
        <v>35</v>
      </c>
      <c r="C22" s="7">
        <v>1034.9000000000001</v>
      </c>
      <c r="D22" s="7">
        <v>1084.5999999999999</v>
      </c>
      <c r="E22" s="7">
        <v>962.3</v>
      </c>
      <c r="F22" s="7">
        <v>346.2</v>
      </c>
      <c r="G22" s="7">
        <v>272.89999999999998</v>
      </c>
      <c r="H22" s="7">
        <v>90.1</v>
      </c>
      <c r="I22" s="7">
        <v>88.6</v>
      </c>
      <c r="J22" s="7">
        <v>79.900000000000006</v>
      </c>
      <c r="K22" s="7">
        <v>97.1</v>
      </c>
      <c r="L22" s="288">
        <v>377</v>
      </c>
      <c r="M22" s="288">
        <v>746.8</v>
      </c>
      <c r="N22" s="288">
        <v>937.3</v>
      </c>
      <c r="O22" s="53">
        <f t="shared" si="0"/>
        <v>6117.7000000000007</v>
      </c>
    </row>
    <row r="23" spans="1:15" s="7" customFormat="1">
      <c r="B23" s="6" t="s">
        <v>36</v>
      </c>
      <c r="C23" s="7">
        <v>14917.8</v>
      </c>
      <c r="D23" s="7">
        <v>12438.3</v>
      </c>
      <c r="E23" s="7">
        <v>12144.5</v>
      </c>
      <c r="F23" s="7">
        <v>6681.6</v>
      </c>
      <c r="G23" s="7">
        <v>2731.6</v>
      </c>
      <c r="H23" s="7">
        <v>1859.5</v>
      </c>
      <c r="I23" s="7">
        <v>1307.3</v>
      </c>
      <c r="J23" s="7">
        <v>1116.9000000000001</v>
      </c>
      <c r="K23" s="7">
        <v>921.6</v>
      </c>
      <c r="L23" s="288">
        <v>2491.8000000000002</v>
      </c>
      <c r="M23" s="288">
        <v>7300.3</v>
      </c>
      <c r="N23" s="288">
        <v>10722</v>
      </c>
      <c r="O23" s="53">
        <f t="shared" si="0"/>
        <v>74633.200000000012</v>
      </c>
    </row>
    <row r="24" spans="1:15" s="7" customFormat="1">
      <c r="B24" s="6" t="s">
        <v>37</v>
      </c>
      <c r="C24" s="7">
        <v>1191.7</v>
      </c>
      <c r="D24" s="7">
        <v>1130.4000000000001</v>
      </c>
      <c r="E24" s="7">
        <v>1068.9000000000001</v>
      </c>
      <c r="F24" s="7">
        <v>410.1</v>
      </c>
      <c r="G24" s="7">
        <v>312</v>
      </c>
      <c r="H24" s="7">
        <v>129.69999999999999</v>
      </c>
      <c r="I24" s="7">
        <v>96.7</v>
      </c>
      <c r="J24" s="7">
        <v>95.9</v>
      </c>
      <c r="K24" s="7">
        <v>105.4</v>
      </c>
      <c r="L24" s="288">
        <v>404.5</v>
      </c>
      <c r="M24" s="288">
        <v>699.7</v>
      </c>
      <c r="N24" s="288">
        <v>880.4</v>
      </c>
      <c r="O24" s="53">
        <f t="shared" si="0"/>
        <v>6525.3999999999987</v>
      </c>
    </row>
    <row r="25" spans="1:15" s="7" customFormat="1">
      <c r="B25" s="6" t="s">
        <v>38</v>
      </c>
      <c r="C25" s="7">
        <v>74.5</v>
      </c>
      <c r="D25" s="7">
        <v>48.2</v>
      </c>
      <c r="E25" s="7">
        <v>73.900000000000006</v>
      </c>
      <c r="F25" s="7">
        <v>44.7</v>
      </c>
      <c r="G25" s="7">
        <v>15</v>
      </c>
      <c r="H25" s="7">
        <v>13.6</v>
      </c>
      <c r="I25" s="7">
        <v>3.8</v>
      </c>
      <c r="J25" s="7">
        <v>4</v>
      </c>
      <c r="K25" s="7">
        <v>4.5</v>
      </c>
      <c r="L25" s="288">
        <v>1692.1</v>
      </c>
      <c r="M25" s="288">
        <v>5263.6</v>
      </c>
      <c r="N25" s="288">
        <v>8634.1</v>
      </c>
      <c r="O25" s="53">
        <f t="shared" si="0"/>
        <v>15872</v>
      </c>
    </row>
    <row r="26" spans="1:15" s="7" customFormat="1">
      <c r="B26" s="6" t="s">
        <v>39</v>
      </c>
      <c r="C26" s="7">
        <v>27352.7965</v>
      </c>
      <c r="D26" s="7">
        <v>21259.743199999997</v>
      </c>
      <c r="E26" s="7">
        <v>22441.3986</v>
      </c>
      <c r="F26" s="7">
        <v>12114.1072</v>
      </c>
      <c r="G26" s="7">
        <v>6093.8132999999998</v>
      </c>
      <c r="H26" s="7">
        <v>3963.2530000000002</v>
      </c>
      <c r="I26" s="7">
        <v>2312.4837000000002</v>
      </c>
      <c r="J26" s="7">
        <v>2183.3147000000004</v>
      </c>
      <c r="K26" s="7">
        <v>2214.8117999999999</v>
      </c>
      <c r="L26" s="288">
        <v>4952.2449999999999</v>
      </c>
      <c r="M26" s="288">
        <v>11413.775799999999</v>
      </c>
      <c r="N26" s="288">
        <v>18475.5245</v>
      </c>
      <c r="O26" s="53">
        <f t="shared" si="0"/>
        <v>134777.26729999998</v>
      </c>
    </row>
    <row r="27" spans="1:15" s="7" customFormat="1">
      <c r="B27" s="6" t="s">
        <v>40</v>
      </c>
      <c r="C27" s="7">
        <v>1380.8</v>
      </c>
      <c r="D27" s="7">
        <v>1236.4000000000001</v>
      </c>
      <c r="E27" s="7">
        <v>1064.0999999999999</v>
      </c>
      <c r="F27" s="7">
        <v>740.4</v>
      </c>
      <c r="G27" s="7">
        <v>253.9</v>
      </c>
      <c r="H27" s="7">
        <v>147.4</v>
      </c>
      <c r="I27" s="7">
        <v>91.3</v>
      </c>
      <c r="J27" s="7">
        <v>84.9</v>
      </c>
      <c r="K27" s="7">
        <v>75.099999999999994</v>
      </c>
      <c r="L27" s="288">
        <v>291.7</v>
      </c>
      <c r="M27" s="288">
        <v>691.3</v>
      </c>
      <c r="N27" s="288">
        <v>998.7</v>
      </c>
      <c r="O27" s="53">
        <f t="shared" si="0"/>
        <v>7055.9999999999991</v>
      </c>
    </row>
    <row r="28" spans="1:15" s="7" customFormat="1">
      <c r="B28" s="6" t="s">
        <v>41</v>
      </c>
      <c r="C28" s="7">
        <v>13382.872800000001</v>
      </c>
      <c r="D28" s="7">
        <v>12512.149399999998</v>
      </c>
      <c r="E28" s="7">
        <v>10532.5301</v>
      </c>
      <c r="F28" s="7">
        <v>4766.9775999999993</v>
      </c>
      <c r="G28" s="7">
        <v>2812.1781000000001</v>
      </c>
      <c r="H28" s="7">
        <v>1428.7712999999999</v>
      </c>
      <c r="I28" s="7">
        <v>919.30360000000007</v>
      </c>
      <c r="J28" s="7">
        <v>942.49170000000004</v>
      </c>
      <c r="K28" s="7">
        <v>988.96359999999993</v>
      </c>
      <c r="L28" s="288">
        <v>3595.6457999999998</v>
      </c>
      <c r="M28" s="288">
        <v>7313.2280999999994</v>
      </c>
      <c r="N28" s="288">
        <v>10519.782800000001</v>
      </c>
      <c r="O28" s="53">
        <f t="shared" si="0"/>
        <v>69714.894899999985</v>
      </c>
    </row>
    <row r="29" spans="1:15" s="8" customFormat="1">
      <c r="B29" s="9" t="s">
        <v>42</v>
      </c>
      <c r="C29" s="8">
        <v>185371.20799999998</v>
      </c>
      <c r="D29" s="8">
        <v>159543.984</v>
      </c>
      <c r="E29" s="8">
        <v>149115.9094</v>
      </c>
      <c r="F29" s="8">
        <v>78655.415799999988</v>
      </c>
      <c r="G29" s="8">
        <v>42877.078799999996</v>
      </c>
      <c r="H29" s="8">
        <v>25497.0753</v>
      </c>
      <c r="I29" s="8">
        <v>17794.972800000003</v>
      </c>
      <c r="J29" s="8">
        <v>17288.538100000005</v>
      </c>
      <c r="K29" s="8">
        <v>16848.028699999999</v>
      </c>
      <c r="L29" s="9">
        <v>43609.875399999997</v>
      </c>
      <c r="M29" s="9">
        <v>99995.949200000003</v>
      </c>
      <c r="N29" s="9">
        <v>143529.62290000002</v>
      </c>
      <c r="O29" s="53">
        <f t="shared" si="0"/>
        <v>980127.65840000007</v>
      </c>
    </row>
    <row r="30" spans="1:15" s="7" customFormat="1">
      <c r="B30" s="6"/>
      <c r="L30" s="288"/>
      <c r="M30" s="288"/>
      <c r="N30" s="288"/>
      <c r="O30" s="53"/>
    </row>
    <row r="31" spans="1:15">
      <c r="A31" s="6" t="s">
        <v>43</v>
      </c>
      <c r="B31" s="6" t="s">
        <v>26</v>
      </c>
      <c r="C31" s="7">
        <v>39409.3583</v>
      </c>
      <c r="D31" s="7">
        <v>34930.565800000004</v>
      </c>
      <c r="E31" s="7">
        <v>34402.342700000001</v>
      </c>
      <c r="F31" s="7">
        <v>18467.885399999999</v>
      </c>
      <c r="G31" s="7">
        <v>11062.597600000001</v>
      </c>
      <c r="H31" s="7">
        <v>8671.4818999999989</v>
      </c>
      <c r="I31" s="7">
        <v>9863.1746000000003</v>
      </c>
      <c r="J31" s="7">
        <v>8580.7612000000008</v>
      </c>
      <c r="K31" s="7">
        <v>9626.6913000000004</v>
      </c>
      <c r="L31" s="288">
        <v>11169.3838</v>
      </c>
      <c r="M31" s="288">
        <v>18709.504800000002</v>
      </c>
      <c r="N31" s="288">
        <v>28017.650400000002</v>
      </c>
      <c r="O31" s="53">
        <f t="shared" si="0"/>
        <v>232911.39780000004</v>
      </c>
    </row>
    <row r="32" spans="1:15">
      <c r="A32" s="7"/>
      <c r="B32" s="6" t="s">
        <v>27</v>
      </c>
      <c r="C32" s="7">
        <v>1806.7831000000001</v>
      </c>
      <c r="D32" s="7">
        <v>1920.8523</v>
      </c>
      <c r="E32" s="7">
        <v>1749.5749000000001</v>
      </c>
      <c r="F32" s="7">
        <v>803.06759999999997</v>
      </c>
      <c r="G32" s="7">
        <v>700.30139999999994</v>
      </c>
      <c r="H32" s="7">
        <v>489.38479999999998</v>
      </c>
      <c r="I32" s="7">
        <v>384.70769999999999</v>
      </c>
      <c r="J32" s="7">
        <v>554.0317</v>
      </c>
      <c r="K32" s="7">
        <v>328.48480000000001</v>
      </c>
      <c r="L32" s="288">
        <v>800.49249999999995</v>
      </c>
      <c r="M32" s="288">
        <v>1270.7006000000001</v>
      </c>
      <c r="N32" s="288">
        <v>1677.8727000000001</v>
      </c>
      <c r="O32" s="53">
        <f t="shared" si="0"/>
        <v>12486.254100000002</v>
      </c>
    </row>
    <row r="33" spans="1:15">
      <c r="A33" s="7"/>
      <c r="B33" s="19" t="s">
        <v>28</v>
      </c>
      <c r="C33" s="20">
        <v>56192.109700000001</v>
      </c>
      <c r="D33" s="20">
        <v>53899.271500000003</v>
      </c>
      <c r="E33" s="20">
        <v>50143.9977</v>
      </c>
      <c r="F33" s="20">
        <v>30012.625400000001</v>
      </c>
      <c r="G33" s="20">
        <v>20961.864799999999</v>
      </c>
      <c r="H33" s="20">
        <v>15334.4193</v>
      </c>
      <c r="I33" s="20">
        <v>9156.7822999999989</v>
      </c>
      <c r="J33" s="20">
        <v>15039.1661</v>
      </c>
      <c r="K33" s="20">
        <v>13889.0407</v>
      </c>
      <c r="L33" s="294">
        <v>21640.547300000002</v>
      </c>
      <c r="M33" s="294">
        <v>36275.689599999998</v>
      </c>
      <c r="N33" s="294">
        <v>45869.905500000001</v>
      </c>
      <c r="O33" s="54">
        <f t="shared" si="0"/>
        <v>368415.41989999998</v>
      </c>
    </row>
    <row r="34" spans="1:15">
      <c r="A34" s="7"/>
      <c r="B34" s="6" t="s">
        <v>29</v>
      </c>
      <c r="C34" s="7">
        <v>56715.438000000009</v>
      </c>
      <c r="D34" s="7">
        <v>54363.710199999987</v>
      </c>
      <c r="E34" s="7">
        <v>45386.679600000003</v>
      </c>
      <c r="F34" s="7">
        <v>22807.710200000001</v>
      </c>
      <c r="G34" s="7">
        <v>17490.178699999997</v>
      </c>
      <c r="H34" s="7">
        <v>12103.415700000001</v>
      </c>
      <c r="I34" s="7">
        <v>10812.4036</v>
      </c>
      <c r="J34" s="7">
        <v>10991.0597</v>
      </c>
      <c r="K34" s="7">
        <v>12410.898800000001</v>
      </c>
      <c r="L34" s="288">
        <v>17839.003400000001</v>
      </c>
      <c r="M34" s="288">
        <v>33633.929900000003</v>
      </c>
      <c r="N34" s="288">
        <v>42134.815199999997</v>
      </c>
      <c r="O34" s="53">
        <f t="shared" si="0"/>
        <v>336689.24300000002</v>
      </c>
    </row>
    <row r="35" spans="1:15">
      <c r="A35" s="7"/>
      <c r="B35" s="6" t="s">
        <v>30</v>
      </c>
      <c r="C35" s="7">
        <v>8407.8714</v>
      </c>
      <c r="D35" s="7">
        <v>7480.6233999999986</v>
      </c>
      <c r="E35" s="7">
        <v>7278.3420999999998</v>
      </c>
      <c r="F35" s="7">
        <v>3569.0052000000001</v>
      </c>
      <c r="G35" s="7">
        <v>1235.4855</v>
      </c>
      <c r="H35" s="7">
        <v>2397.8811000000005</v>
      </c>
      <c r="I35" s="7">
        <v>647.49749999999995</v>
      </c>
      <c r="J35" s="7">
        <v>914.16589999999997</v>
      </c>
      <c r="K35" s="7">
        <v>875.95140000000004</v>
      </c>
      <c r="L35" s="288">
        <v>1296.0853000000002</v>
      </c>
      <c r="M35" s="288">
        <v>2852.7159999999999</v>
      </c>
      <c r="N35" s="288">
        <v>4170.9817000000003</v>
      </c>
      <c r="O35" s="53">
        <f t="shared" si="0"/>
        <v>41126.606499999994</v>
      </c>
    </row>
    <row r="36" spans="1:15">
      <c r="A36" s="7"/>
      <c r="B36" s="6" t="s">
        <v>31</v>
      </c>
      <c r="C36" s="7">
        <v>42128.6777</v>
      </c>
      <c r="D36" s="7">
        <v>28614.4797</v>
      </c>
      <c r="E36" s="7">
        <v>34205.828999999998</v>
      </c>
      <c r="F36" s="7">
        <v>19913.932200000003</v>
      </c>
      <c r="G36" s="7">
        <v>11087.7066</v>
      </c>
      <c r="H36" s="7">
        <v>9514.0878000000012</v>
      </c>
      <c r="I36" s="7">
        <v>6523.9508000000014</v>
      </c>
      <c r="J36" s="7">
        <v>7466.4345000000003</v>
      </c>
      <c r="K36" s="7">
        <v>6233.3802999999998</v>
      </c>
      <c r="L36" s="288">
        <v>8945.8837000000003</v>
      </c>
      <c r="M36" s="288">
        <v>16459.649000000001</v>
      </c>
      <c r="N36" s="288">
        <v>23499.663500000002</v>
      </c>
      <c r="O36" s="53">
        <f t="shared" si="0"/>
        <v>214593.67480000001</v>
      </c>
    </row>
    <row r="37" spans="1:15">
      <c r="A37" s="7"/>
      <c r="B37" s="6" t="s">
        <v>32</v>
      </c>
      <c r="C37" s="7">
        <v>18903.130300000001</v>
      </c>
      <c r="D37" s="7">
        <v>16584.7228</v>
      </c>
      <c r="E37" s="7">
        <v>15990.582</v>
      </c>
      <c r="F37" s="7">
        <v>10743.356400000001</v>
      </c>
      <c r="G37" s="7">
        <v>7489.9422000000004</v>
      </c>
      <c r="H37" s="7">
        <v>6666.9887000000008</v>
      </c>
      <c r="I37" s="7">
        <v>4861.2028</v>
      </c>
      <c r="J37" s="7">
        <v>5210.0078000000003</v>
      </c>
      <c r="K37" s="7">
        <v>5411.7809999999999</v>
      </c>
      <c r="L37" s="288">
        <v>9311.8283999999985</v>
      </c>
      <c r="M37" s="288">
        <v>12214.294300000001</v>
      </c>
      <c r="N37" s="288">
        <v>16935.283100000001</v>
      </c>
      <c r="O37" s="53">
        <f t="shared" si="0"/>
        <v>130323.11980000001</v>
      </c>
    </row>
    <row r="38" spans="1:15">
      <c r="A38" s="7"/>
      <c r="B38" s="6" t="s">
        <v>33</v>
      </c>
      <c r="C38" s="7">
        <v>1549.4546</v>
      </c>
      <c r="D38" s="7">
        <v>1668.9097999999999</v>
      </c>
      <c r="E38" s="7">
        <v>1658.0530000000001</v>
      </c>
      <c r="F38" s="7">
        <v>967.97059999999999</v>
      </c>
      <c r="G38" s="7">
        <v>962.61809999999991</v>
      </c>
      <c r="H38" s="7">
        <v>673.20699999999999</v>
      </c>
      <c r="I38" s="7">
        <v>393.15140000000002</v>
      </c>
      <c r="J38" s="7">
        <v>485.85820000000001</v>
      </c>
      <c r="K38" s="7">
        <v>785.7056</v>
      </c>
      <c r="L38" s="288">
        <v>1109.0381</v>
      </c>
      <c r="M38" s="288">
        <v>1253.1811</v>
      </c>
      <c r="N38" s="288">
        <v>1414.7847999999999</v>
      </c>
      <c r="O38" s="53">
        <f t="shared" si="0"/>
        <v>12921.932299999999</v>
      </c>
    </row>
    <row r="39" spans="1:15">
      <c r="A39" s="7"/>
      <c r="B39" s="6" t="s">
        <v>34</v>
      </c>
      <c r="C39" s="7">
        <v>8467.6993999999995</v>
      </c>
      <c r="D39" s="7">
        <v>7277.8010000000004</v>
      </c>
      <c r="E39" s="7">
        <v>6352.2089999999998</v>
      </c>
      <c r="F39" s="7">
        <v>2979.0999000000002</v>
      </c>
      <c r="G39" s="7">
        <v>2276.5306999999998</v>
      </c>
      <c r="H39" s="7">
        <v>1664.8432</v>
      </c>
      <c r="I39" s="7">
        <v>1235.0713000000001</v>
      </c>
      <c r="J39" s="7">
        <v>1356.0311999999999</v>
      </c>
      <c r="K39" s="7">
        <v>1594.5432000000001</v>
      </c>
      <c r="L39" s="288">
        <v>2703.913</v>
      </c>
      <c r="M39" s="288">
        <v>4426.7700999999997</v>
      </c>
      <c r="N39" s="288">
        <v>6564.4798000000001</v>
      </c>
      <c r="O39" s="53">
        <f t="shared" si="0"/>
        <v>46898.991800000003</v>
      </c>
    </row>
    <row r="40" spans="1:15">
      <c r="A40" s="7"/>
      <c r="B40" s="6" t="s">
        <v>35</v>
      </c>
      <c r="C40" s="7">
        <v>1925.9015999999999</v>
      </c>
      <c r="D40" s="7">
        <v>1847.0132000000001</v>
      </c>
      <c r="E40" s="7">
        <v>1657.0065</v>
      </c>
      <c r="F40" s="7">
        <v>779.77690000000007</v>
      </c>
      <c r="G40" s="7">
        <v>722.29849999999999</v>
      </c>
      <c r="H40" s="7">
        <v>711.56560000000002</v>
      </c>
      <c r="I40" s="7">
        <v>611.37160000000006</v>
      </c>
      <c r="J40" s="7">
        <v>618.52149999999995</v>
      </c>
      <c r="K40" s="7">
        <v>559.04240000000004</v>
      </c>
      <c r="L40" s="288">
        <v>618.08389999999997</v>
      </c>
      <c r="M40" s="288">
        <v>1087.6671000000001</v>
      </c>
      <c r="N40" s="288">
        <v>1185.6592000000001</v>
      </c>
      <c r="O40" s="53">
        <f t="shared" si="0"/>
        <v>12323.908000000001</v>
      </c>
    </row>
    <row r="41" spans="1:15">
      <c r="A41" s="7"/>
      <c r="B41" s="6" t="s">
        <v>36</v>
      </c>
      <c r="C41" s="7">
        <v>22326.646400000001</v>
      </c>
      <c r="D41" s="7">
        <v>18306.305</v>
      </c>
      <c r="E41" s="7">
        <v>18281.0726</v>
      </c>
      <c r="F41" s="7">
        <v>11092.8899</v>
      </c>
      <c r="G41" s="7">
        <v>6050.5405999999994</v>
      </c>
      <c r="H41" s="7">
        <v>5725.9619000000002</v>
      </c>
      <c r="I41" s="7">
        <v>4314.3698999999997</v>
      </c>
      <c r="J41" s="7">
        <v>4628.7999</v>
      </c>
      <c r="K41" s="7">
        <v>3217.9582999999998</v>
      </c>
      <c r="L41" s="288">
        <v>5636.2146000000002</v>
      </c>
      <c r="M41" s="288">
        <v>11486.188099999999</v>
      </c>
      <c r="N41" s="288">
        <v>16335.658299999999</v>
      </c>
      <c r="O41" s="53">
        <f t="shared" si="0"/>
        <v>127402.60549999999</v>
      </c>
    </row>
    <row r="42" spans="1:15">
      <c r="A42" s="7"/>
      <c r="B42" s="6" t="s">
        <v>37</v>
      </c>
      <c r="C42" s="7">
        <v>2060.9</v>
      </c>
      <c r="D42" s="7">
        <v>2054.1999999999998</v>
      </c>
      <c r="E42" s="7">
        <v>1743.9</v>
      </c>
      <c r="F42" s="7">
        <v>632</v>
      </c>
      <c r="G42" s="7">
        <v>581.1</v>
      </c>
      <c r="H42" s="7">
        <v>273.2</v>
      </c>
      <c r="I42" s="7">
        <v>453.5</v>
      </c>
      <c r="J42" s="7">
        <v>462.5</v>
      </c>
      <c r="K42" s="7">
        <v>388.5</v>
      </c>
      <c r="L42" s="288">
        <v>887.3</v>
      </c>
      <c r="M42" s="288">
        <v>1375.7</v>
      </c>
      <c r="N42" s="288">
        <v>1737.2</v>
      </c>
      <c r="O42" s="53">
        <f t="shared" si="0"/>
        <v>12650</v>
      </c>
    </row>
    <row r="43" spans="1:15">
      <c r="A43" s="7"/>
      <c r="B43" s="6" t="s">
        <v>38</v>
      </c>
      <c r="C43" s="7">
        <v>16908.359899999999</v>
      </c>
      <c r="D43" s="7">
        <v>13402.6479</v>
      </c>
      <c r="E43" s="7">
        <v>14242.3</v>
      </c>
      <c r="F43" s="7">
        <v>8962.1</v>
      </c>
      <c r="G43" s="7">
        <v>6085.2</v>
      </c>
      <c r="H43" s="7">
        <v>5064.3999999999996</v>
      </c>
      <c r="I43" s="7">
        <v>3792.1</v>
      </c>
      <c r="J43" s="7">
        <v>3982.6</v>
      </c>
      <c r="K43" s="7">
        <v>3884.7</v>
      </c>
      <c r="L43" s="288">
        <v>4688.5</v>
      </c>
      <c r="M43" s="288">
        <v>7774.1115</v>
      </c>
      <c r="N43" s="288">
        <v>10049.171299999998</v>
      </c>
      <c r="O43" s="53">
        <f t="shared" si="0"/>
        <v>98836.190600000002</v>
      </c>
    </row>
    <row r="44" spans="1:15">
      <c r="A44" s="7"/>
      <c r="B44" s="6" t="s">
        <v>39</v>
      </c>
      <c r="C44" s="7">
        <v>27658.4414</v>
      </c>
      <c r="D44" s="7">
        <v>23343.366600000001</v>
      </c>
      <c r="E44" s="7">
        <v>25824.6057</v>
      </c>
      <c r="F44" s="7">
        <v>15384.034900000001</v>
      </c>
      <c r="G44" s="7">
        <v>10167.6697</v>
      </c>
      <c r="H44" s="7">
        <v>9181.8666999999987</v>
      </c>
      <c r="I44" s="7">
        <v>2682.5931999999998</v>
      </c>
      <c r="J44" s="7">
        <v>12087.690199999999</v>
      </c>
      <c r="K44" s="7">
        <v>7654.5855999999994</v>
      </c>
      <c r="L44" s="288">
        <v>10078.8557</v>
      </c>
      <c r="M44" s="288">
        <v>17425.829400000002</v>
      </c>
      <c r="N44" s="288">
        <v>22384.2994</v>
      </c>
      <c r="O44" s="53">
        <f t="shared" si="0"/>
        <v>183873.83849999998</v>
      </c>
    </row>
    <row r="45" spans="1:15">
      <c r="A45" s="7"/>
      <c r="B45" s="6" t="s">
        <v>40</v>
      </c>
      <c r="C45" s="7">
        <v>8422.208700000001</v>
      </c>
      <c r="D45" s="7">
        <v>7332.0739999999996</v>
      </c>
      <c r="E45" s="7">
        <v>5137.0600000000004</v>
      </c>
      <c r="F45" s="7">
        <v>3408.6477999999997</v>
      </c>
      <c r="G45" s="7">
        <v>684.67370000000005</v>
      </c>
      <c r="H45" s="7">
        <v>504.95870000000002</v>
      </c>
      <c r="I45" s="7">
        <v>812.06139999999994</v>
      </c>
      <c r="J45" s="7">
        <v>273.45370000000003</v>
      </c>
      <c r="K45" s="7">
        <v>310.476</v>
      </c>
      <c r="L45" s="288">
        <v>1190.2018</v>
      </c>
      <c r="M45" s="288">
        <v>3513.6203</v>
      </c>
      <c r="N45" s="288">
        <v>6058.5715999999993</v>
      </c>
      <c r="O45" s="53">
        <f t="shared" si="0"/>
        <v>37648.007699999995</v>
      </c>
    </row>
    <row r="46" spans="1:15">
      <c r="A46" s="7"/>
      <c r="B46" s="6" t="s">
        <v>41</v>
      </c>
      <c r="C46" s="7">
        <v>32853.099899999987</v>
      </c>
      <c r="D46" s="7">
        <v>31623.487100000002</v>
      </c>
      <c r="E46" s="7">
        <v>28033.629200000003</v>
      </c>
      <c r="F46" s="7">
        <v>14477.197100000001</v>
      </c>
      <c r="G46" s="7">
        <v>11031.446400000001</v>
      </c>
      <c r="H46" s="7">
        <v>9386.1580999999987</v>
      </c>
      <c r="I46" s="7">
        <v>6562.7568000000001</v>
      </c>
      <c r="J46" s="7">
        <v>7593.6381999999994</v>
      </c>
      <c r="K46" s="7">
        <v>7266.1919000000007</v>
      </c>
      <c r="L46" s="288">
        <v>12029.8928</v>
      </c>
      <c r="M46" s="288">
        <v>19531.014500000001</v>
      </c>
      <c r="N46" s="288">
        <v>24890.837100000001</v>
      </c>
      <c r="O46" s="53">
        <f t="shared" si="0"/>
        <v>205279.34909999999</v>
      </c>
    </row>
    <row r="47" spans="1:15" s="287" customFormat="1">
      <c r="A47" s="8"/>
      <c r="B47" s="9" t="s">
        <v>42</v>
      </c>
      <c r="C47" s="8">
        <v>345736.08039999998</v>
      </c>
      <c r="D47" s="8">
        <v>304650.03030000004</v>
      </c>
      <c r="E47" s="8">
        <v>292087.18400000001</v>
      </c>
      <c r="F47" s="8">
        <v>165001.29949999999</v>
      </c>
      <c r="G47" s="8">
        <v>108590.1545</v>
      </c>
      <c r="H47" s="8">
        <v>88363.820499999973</v>
      </c>
      <c r="I47" s="8">
        <v>63106.694899999995</v>
      </c>
      <c r="J47" s="8">
        <v>80244.719799999992</v>
      </c>
      <c r="K47" s="8">
        <v>74437.931300000011</v>
      </c>
      <c r="L47" s="9">
        <v>109945.22430000002</v>
      </c>
      <c r="M47" s="9">
        <v>189290.56630000001</v>
      </c>
      <c r="N47" s="9">
        <v>252926.83360000001</v>
      </c>
      <c r="O47" s="53">
        <f t="shared" si="0"/>
        <v>2074380.5394000004</v>
      </c>
    </row>
    <row r="48" spans="1:15">
      <c r="A48" s="7"/>
      <c r="B48" s="6"/>
      <c r="C48" s="7"/>
      <c r="D48" s="7"/>
      <c r="E48" s="7"/>
      <c r="F48" s="7"/>
      <c r="G48" s="7"/>
      <c r="H48" s="7"/>
      <c r="I48" s="7"/>
      <c r="J48" s="7"/>
      <c r="K48" s="7"/>
      <c r="L48" s="288"/>
      <c r="M48" s="288"/>
      <c r="N48" s="288"/>
      <c r="O48" s="53"/>
    </row>
    <row r="49" spans="1:15">
      <c r="A49" s="6" t="s">
        <v>44</v>
      </c>
      <c r="B49" s="6" t="s">
        <v>26</v>
      </c>
      <c r="C49" s="7">
        <v>26444.6872</v>
      </c>
      <c r="D49" s="7">
        <v>10600.8125</v>
      </c>
      <c r="E49" s="7">
        <v>25564.534200000002</v>
      </c>
      <c r="F49" s="7">
        <v>20433.557199999999</v>
      </c>
      <c r="G49" s="7">
        <v>18031.142599999999</v>
      </c>
      <c r="H49" s="7">
        <v>20239.654299999998</v>
      </c>
      <c r="I49" s="7">
        <v>16831.4087</v>
      </c>
      <c r="J49" s="7">
        <v>12756.169</v>
      </c>
      <c r="K49" s="7">
        <v>18501.192300000002</v>
      </c>
      <c r="L49" s="288">
        <v>20824.940300000002</v>
      </c>
      <c r="M49" s="288">
        <v>22816.195200000002</v>
      </c>
      <c r="N49" s="288">
        <v>18890.1378</v>
      </c>
      <c r="O49" s="53">
        <f t="shared" si="0"/>
        <v>231934.43130000003</v>
      </c>
    </row>
    <row r="50" spans="1:15">
      <c r="A50" s="7"/>
      <c r="B50" s="6" t="s">
        <v>27</v>
      </c>
      <c r="C50" s="7">
        <v>9332.7999999999993</v>
      </c>
      <c r="D50" s="7">
        <v>10722.8</v>
      </c>
      <c r="E50" s="7">
        <v>10070.9</v>
      </c>
      <c r="F50" s="7">
        <v>4193</v>
      </c>
      <c r="G50" s="7">
        <v>4256.3</v>
      </c>
      <c r="H50" s="7">
        <v>1997.1</v>
      </c>
      <c r="I50" s="7">
        <v>1234.9000000000001</v>
      </c>
      <c r="J50" s="7">
        <v>1155</v>
      </c>
      <c r="K50" s="7">
        <v>1585</v>
      </c>
      <c r="L50" s="288">
        <v>4610</v>
      </c>
      <c r="M50" s="288">
        <v>7943.6</v>
      </c>
      <c r="N50" s="288">
        <v>6917.9</v>
      </c>
      <c r="O50" s="53">
        <f t="shared" si="0"/>
        <v>64019.3</v>
      </c>
    </row>
    <row r="51" spans="1:15">
      <c r="A51" s="7"/>
      <c r="B51" s="19" t="s">
        <v>28</v>
      </c>
      <c r="C51" s="20">
        <v>16252.1314</v>
      </c>
      <c r="D51" s="20">
        <v>21030.5916</v>
      </c>
      <c r="E51" s="20">
        <v>21624.705399999999</v>
      </c>
      <c r="F51" s="20">
        <v>21482.715199999999</v>
      </c>
      <c r="G51" s="20">
        <v>20985.631799999999</v>
      </c>
      <c r="H51" s="20">
        <v>22172.1957</v>
      </c>
      <c r="I51" s="20">
        <v>14748.2417</v>
      </c>
      <c r="J51" s="20">
        <v>24116.387199999997</v>
      </c>
      <c r="K51" s="20">
        <v>22549.336199999998</v>
      </c>
      <c r="L51" s="294">
        <v>16203.386</v>
      </c>
      <c r="M51" s="294">
        <v>27391.998899999999</v>
      </c>
      <c r="N51" s="294">
        <v>17258.7143</v>
      </c>
      <c r="O51" s="54">
        <f t="shared" si="0"/>
        <v>245816.03539999999</v>
      </c>
    </row>
    <row r="52" spans="1:15">
      <c r="A52" s="7"/>
      <c r="B52" s="6" t="s">
        <v>29</v>
      </c>
      <c r="C52" s="7">
        <v>19335.712899999999</v>
      </c>
      <c r="D52" s="7">
        <v>26036.0144</v>
      </c>
      <c r="E52" s="7">
        <v>29522.6086</v>
      </c>
      <c r="F52" s="7">
        <v>23561.001499999998</v>
      </c>
      <c r="G52" s="7">
        <v>22506.001899999999</v>
      </c>
      <c r="H52" s="7">
        <v>22553.424299999999</v>
      </c>
      <c r="I52" s="7">
        <v>20587.155500000001</v>
      </c>
      <c r="J52" s="7">
        <v>18435.6021</v>
      </c>
      <c r="K52" s="7">
        <v>23482.945599999999</v>
      </c>
      <c r="L52" s="288">
        <v>23846.0612</v>
      </c>
      <c r="M52" s="288">
        <v>29192.857199999999</v>
      </c>
      <c r="N52" s="288">
        <v>27467.8616</v>
      </c>
      <c r="O52" s="53">
        <f t="shared" si="0"/>
        <v>286527.24679999996</v>
      </c>
    </row>
    <row r="53" spans="1:15">
      <c r="A53" s="7"/>
      <c r="B53" s="6" t="s">
        <v>30</v>
      </c>
      <c r="C53" s="7">
        <v>2843.5</v>
      </c>
      <c r="D53" s="7">
        <v>2384.3000000000002</v>
      </c>
      <c r="E53" s="7">
        <v>2751.3</v>
      </c>
      <c r="F53" s="7">
        <v>2095.4</v>
      </c>
      <c r="G53" s="7">
        <v>1720.2</v>
      </c>
      <c r="H53" s="7">
        <v>1697.9</v>
      </c>
      <c r="I53" s="7">
        <v>1450.8</v>
      </c>
      <c r="J53" s="7">
        <v>1440.6</v>
      </c>
      <c r="K53" s="7">
        <v>842.1</v>
      </c>
      <c r="L53" s="288">
        <v>1463.5</v>
      </c>
      <c r="M53" s="288">
        <v>2315.4</v>
      </c>
      <c r="N53" s="288">
        <v>2396</v>
      </c>
      <c r="O53" s="53">
        <f t="shared" si="0"/>
        <v>23401</v>
      </c>
    </row>
    <row r="54" spans="1:15">
      <c r="A54" s="7"/>
      <c r="B54" s="6" t="s">
        <v>31</v>
      </c>
      <c r="C54" s="7">
        <v>64043</v>
      </c>
      <c r="D54" s="7">
        <v>49300</v>
      </c>
      <c r="E54" s="7">
        <v>49237</v>
      </c>
      <c r="F54" s="7">
        <v>52976</v>
      </c>
      <c r="G54" s="7">
        <v>47801</v>
      </c>
      <c r="H54" s="7">
        <v>47708</v>
      </c>
      <c r="I54" s="7">
        <v>43648</v>
      </c>
      <c r="J54" s="7">
        <v>51619</v>
      </c>
      <c r="K54" s="7">
        <v>54723</v>
      </c>
      <c r="L54" s="288">
        <v>43768</v>
      </c>
      <c r="M54" s="288">
        <v>49229</v>
      </c>
      <c r="N54" s="288">
        <v>57771</v>
      </c>
      <c r="O54" s="53">
        <f t="shared" si="0"/>
        <v>611823</v>
      </c>
    </row>
    <row r="55" spans="1:15">
      <c r="A55" s="7"/>
      <c r="B55" s="6" t="s">
        <v>32</v>
      </c>
      <c r="C55" s="7">
        <v>24493.348099999999</v>
      </c>
      <c r="D55" s="7">
        <v>34037.233</v>
      </c>
      <c r="E55" s="7">
        <v>25456.068800000001</v>
      </c>
      <c r="F55" s="7">
        <v>19633.785199999998</v>
      </c>
      <c r="G55" s="7">
        <v>8618.6859000000004</v>
      </c>
      <c r="H55" s="7">
        <v>9044.0550000000003</v>
      </c>
      <c r="I55" s="7">
        <v>15604.9</v>
      </c>
      <c r="J55" s="7">
        <v>6596.9157999999998</v>
      </c>
      <c r="K55" s="7">
        <v>-800.64700000000084</v>
      </c>
      <c r="L55" s="288">
        <v>2660.4339</v>
      </c>
      <c r="M55" s="288">
        <v>55013.6077</v>
      </c>
      <c r="N55" s="288">
        <v>-1392.6935999999987</v>
      </c>
      <c r="O55" s="53">
        <f t="shared" si="0"/>
        <v>198965.69279999996</v>
      </c>
    </row>
    <row r="56" spans="1:15">
      <c r="A56" s="7"/>
      <c r="B56" s="6" t="s">
        <v>33</v>
      </c>
      <c r="C56" s="6" t="s">
        <v>45</v>
      </c>
      <c r="D56" s="6" t="s">
        <v>45</v>
      </c>
      <c r="E56" s="6" t="s">
        <v>45</v>
      </c>
      <c r="F56" s="6" t="s">
        <v>45</v>
      </c>
      <c r="G56" s="6" t="s">
        <v>45</v>
      </c>
      <c r="H56" s="6" t="s">
        <v>45</v>
      </c>
      <c r="I56" s="6" t="s">
        <v>45</v>
      </c>
      <c r="J56" s="6" t="s">
        <v>45</v>
      </c>
      <c r="K56" s="6" t="s">
        <v>45</v>
      </c>
      <c r="L56" s="288" t="s">
        <v>45</v>
      </c>
      <c r="M56" s="288" t="s">
        <v>45</v>
      </c>
      <c r="N56" s="288" t="s">
        <v>45</v>
      </c>
      <c r="O56" s="53">
        <f t="shared" si="0"/>
        <v>0</v>
      </c>
    </row>
    <row r="57" spans="1:15">
      <c r="A57" s="7"/>
      <c r="B57" s="6" t="s">
        <v>34</v>
      </c>
      <c r="C57" s="7">
        <v>4686.5</v>
      </c>
      <c r="D57" s="7">
        <v>3938.9</v>
      </c>
      <c r="E57" s="7">
        <v>3829.2</v>
      </c>
      <c r="F57" s="7">
        <v>2908.8</v>
      </c>
      <c r="G57" s="7">
        <v>2548</v>
      </c>
      <c r="H57" s="7">
        <v>2435.3000000000002</v>
      </c>
      <c r="I57" s="7">
        <v>1577.1</v>
      </c>
      <c r="J57" s="7">
        <v>2000.1</v>
      </c>
      <c r="K57" s="6">
        <v>2223.6999999999998</v>
      </c>
      <c r="L57" s="288">
        <v>2898.1</v>
      </c>
      <c r="M57" s="288">
        <v>3465.4</v>
      </c>
      <c r="N57" s="288">
        <v>4063.4</v>
      </c>
      <c r="O57" s="53">
        <f t="shared" si="0"/>
        <v>36574.499999999993</v>
      </c>
    </row>
    <row r="58" spans="1:15">
      <c r="A58" s="7"/>
      <c r="B58" s="6" t="s">
        <v>35</v>
      </c>
      <c r="C58" s="7">
        <v>2988</v>
      </c>
      <c r="D58" s="7">
        <v>3435</v>
      </c>
      <c r="E58" s="7">
        <v>2445</v>
      </c>
      <c r="F58" s="7">
        <v>324</v>
      </c>
      <c r="G58" s="7">
        <v>36</v>
      </c>
      <c r="H58" s="7">
        <v>1</v>
      </c>
      <c r="I58" s="7">
        <v>0</v>
      </c>
      <c r="J58" s="6" t="s">
        <v>45</v>
      </c>
      <c r="K58" s="7">
        <v>300</v>
      </c>
      <c r="L58" s="288">
        <v>1142</v>
      </c>
      <c r="M58" s="288">
        <v>1834</v>
      </c>
      <c r="N58" s="288">
        <v>3007</v>
      </c>
      <c r="O58" s="53">
        <f t="shared" si="0"/>
        <v>15512</v>
      </c>
    </row>
    <row r="59" spans="1:15">
      <c r="A59" s="7"/>
      <c r="B59" s="6" t="s">
        <v>36</v>
      </c>
      <c r="C59" s="7">
        <v>4561.2</v>
      </c>
      <c r="D59" s="7">
        <v>46317.4</v>
      </c>
      <c r="E59" s="7">
        <v>22868.9</v>
      </c>
      <c r="F59" s="7">
        <v>18275.8</v>
      </c>
      <c r="G59" s="7">
        <v>22716.6</v>
      </c>
      <c r="H59" s="7">
        <v>23149.4</v>
      </c>
      <c r="I59" s="7">
        <v>18361.900000000001</v>
      </c>
      <c r="J59" s="7">
        <v>19403.5</v>
      </c>
      <c r="K59" s="7">
        <v>19017.7</v>
      </c>
      <c r="L59" s="288">
        <v>21485</v>
      </c>
      <c r="M59" s="288">
        <v>25859.5</v>
      </c>
      <c r="N59" s="288">
        <v>32058.1</v>
      </c>
      <c r="O59" s="53">
        <f t="shared" si="0"/>
        <v>274075</v>
      </c>
    </row>
    <row r="60" spans="1:15">
      <c r="A60" s="7"/>
      <c r="B60" s="6" t="s">
        <v>37</v>
      </c>
      <c r="C60" s="6" t="s">
        <v>45</v>
      </c>
      <c r="D60" s="6" t="s">
        <v>45</v>
      </c>
      <c r="E60" s="6" t="s">
        <v>45</v>
      </c>
      <c r="F60" s="6" t="s">
        <v>45</v>
      </c>
      <c r="G60" s="6" t="s">
        <v>45</v>
      </c>
      <c r="H60" s="6" t="s">
        <v>45</v>
      </c>
      <c r="I60" s="6" t="s">
        <v>45</v>
      </c>
      <c r="J60" s="6" t="s">
        <v>45</v>
      </c>
      <c r="K60" s="6" t="s">
        <v>45</v>
      </c>
      <c r="L60" s="288" t="s">
        <v>45</v>
      </c>
      <c r="M60" s="288" t="s">
        <v>45</v>
      </c>
      <c r="N60" s="288" t="s">
        <v>45</v>
      </c>
      <c r="O60" s="53">
        <f t="shared" si="0"/>
        <v>0</v>
      </c>
    </row>
    <row r="61" spans="1:15">
      <c r="A61" s="7"/>
      <c r="B61" s="6" t="s">
        <v>38</v>
      </c>
      <c r="C61" s="7">
        <v>9098.0469999999987</v>
      </c>
      <c r="D61" s="7">
        <v>25469.239099999999</v>
      </c>
      <c r="E61" s="7">
        <v>24392.677599999999</v>
      </c>
      <c r="F61" s="7">
        <v>5743.6185000000005</v>
      </c>
      <c r="G61" s="7">
        <v>5392.4458999999997</v>
      </c>
      <c r="H61" s="7">
        <v>3586.5895</v>
      </c>
      <c r="I61" s="7">
        <v>4570.0835999999999</v>
      </c>
      <c r="J61" s="7">
        <v>5184.4588999999996</v>
      </c>
      <c r="K61" s="7">
        <v>4842.2894999999999</v>
      </c>
      <c r="L61" s="288">
        <v>4170.6848</v>
      </c>
      <c r="M61" s="288">
        <v>5729.1795000000002</v>
      </c>
      <c r="N61" s="288">
        <v>9058.4660000000003</v>
      </c>
      <c r="O61" s="53">
        <f t="shared" si="0"/>
        <v>107237.77989999999</v>
      </c>
    </row>
    <row r="62" spans="1:15">
      <c r="A62" s="7"/>
      <c r="B62" s="6" t="s">
        <v>39</v>
      </c>
      <c r="C62" s="7">
        <v>12954.950499999999</v>
      </c>
      <c r="D62" s="7">
        <v>33035.300000000003</v>
      </c>
      <c r="E62" s="7">
        <v>24576.3</v>
      </c>
      <c r="F62" s="7">
        <v>19293.2</v>
      </c>
      <c r="G62" s="7">
        <v>108.4</v>
      </c>
      <c r="H62" s="7">
        <v>18645.511999999999</v>
      </c>
      <c r="I62" s="7">
        <v>2834.7</v>
      </c>
      <c r="J62" s="7">
        <v>13926.4</v>
      </c>
      <c r="K62" s="7">
        <v>9897.7119999999995</v>
      </c>
      <c r="L62" s="288">
        <v>12318.9</v>
      </c>
      <c r="M62" s="288">
        <v>17464.099999999999</v>
      </c>
      <c r="N62" s="288">
        <v>17816.400000000001</v>
      </c>
      <c r="O62" s="53">
        <f t="shared" si="0"/>
        <v>182871.87449999998</v>
      </c>
    </row>
    <row r="63" spans="1:15">
      <c r="A63" s="7"/>
      <c r="B63" s="6" t="s">
        <v>40</v>
      </c>
      <c r="C63" s="7">
        <v>691.65009999999995</v>
      </c>
      <c r="D63" s="7">
        <v>754.06949999999995</v>
      </c>
      <c r="E63" s="7">
        <v>744.52769999999998</v>
      </c>
      <c r="F63" s="7">
        <v>965.31500000000005</v>
      </c>
      <c r="G63" s="7">
        <v>770.23760000000004</v>
      </c>
      <c r="H63" s="7">
        <v>883.14930000000004</v>
      </c>
      <c r="I63" s="7">
        <v>973.26649999999995</v>
      </c>
      <c r="J63" s="7">
        <v>923.56949999999995</v>
      </c>
      <c r="K63" s="7">
        <v>911.11210000000005</v>
      </c>
      <c r="L63" s="288">
        <v>975.12189999999998</v>
      </c>
      <c r="M63" s="288">
        <v>793.9597</v>
      </c>
      <c r="N63" s="288">
        <v>938.41240000000005</v>
      </c>
      <c r="O63" s="53">
        <f t="shared" si="0"/>
        <v>10324.391299999997</v>
      </c>
    </row>
    <row r="64" spans="1:15">
      <c r="A64" s="7"/>
      <c r="B64" s="6" t="s">
        <v>41</v>
      </c>
      <c r="C64" s="7">
        <v>26256.947800000002</v>
      </c>
      <c r="D64" s="7">
        <v>26132.0913</v>
      </c>
      <c r="E64" s="7">
        <v>25627.9293</v>
      </c>
      <c r="F64" s="7">
        <v>20722.0864</v>
      </c>
      <c r="G64" s="7">
        <v>17063.7127</v>
      </c>
      <c r="H64" s="7">
        <v>16268.917600000001</v>
      </c>
      <c r="I64" s="7">
        <v>11516.9</v>
      </c>
      <c r="J64" s="7">
        <v>22121.560300000001</v>
      </c>
      <c r="K64" s="7">
        <v>23445.316599999998</v>
      </c>
      <c r="L64" s="288">
        <v>14829.337599999999</v>
      </c>
      <c r="M64" s="288">
        <v>34916.727599999998</v>
      </c>
      <c r="N64" s="288">
        <v>39703.391900000002</v>
      </c>
      <c r="O64" s="53">
        <f t="shared" si="0"/>
        <v>278604.9191</v>
      </c>
    </row>
    <row r="65" spans="1:15" s="287" customFormat="1">
      <c r="A65" s="8"/>
      <c r="B65" s="9" t="s">
        <v>42</v>
      </c>
      <c r="C65" s="8">
        <v>223982.47500000001</v>
      </c>
      <c r="D65" s="8">
        <v>293193.75140000001</v>
      </c>
      <c r="E65" s="8">
        <v>268711.65159999998</v>
      </c>
      <c r="F65" s="8">
        <v>212608.27899999998</v>
      </c>
      <c r="G65" s="8">
        <v>172554.3584</v>
      </c>
      <c r="H65" s="8">
        <v>190382.19769999999</v>
      </c>
      <c r="I65" s="8">
        <v>153939.356</v>
      </c>
      <c r="J65" s="8">
        <v>179679.2628</v>
      </c>
      <c r="K65" s="8">
        <v>181520.7573</v>
      </c>
      <c r="L65" s="9">
        <v>171195.4657</v>
      </c>
      <c r="M65" s="9">
        <v>283965.5258</v>
      </c>
      <c r="N65" s="9">
        <v>235954.09039999999</v>
      </c>
      <c r="O65" s="53">
        <f t="shared" si="0"/>
        <v>2567687.1710999999</v>
      </c>
    </row>
    <row r="66" spans="1:15">
      <c r="A66" s="7"/>
      <c r="B66" s="6"/>
      <c r="C66" s="7"/>
      <c r="D66" s="7"/>
      <c r="E66" s="7"/>
      <c r="F66" s="7"/>
      <c r="G66" s="7"/>
      <c r="H66" s="7"/>
      <c r="I66" s="7"/>
      <c r="J66" s="7"/>
      <c r="K66" s="7"/>
      <c r="L66" s="288"/>
      <c r="M66" s="288"/>
      <c r="N66" s="288"/>
      <c r="O66" s="53"/>
    </row>
    <row r="67" spans="1:15">
      <c r="A67" s="6" t="s">
        <v>46</v>
      </c>
      <c r="B67" s="6" t="s">
        <v>26</v>
      </c>
      <c r="C67" s="7">
        <v>117</v>
      </c>
      <c r="D67" s="7">
        <v>83</v>
      </c>
      <c r="E67" s="7">
        <v>82.4</v>
      </c>
      <c r="F67" s="7">
        <v>53.1</v>
      </c>
      <c r="G67" s="7">
        <v>18.8</v>
      </c>
      <c r="H67" s="7">
        <v>16.3</v>
      </c>
      <c r="I67" s="7">
        <v>5.4</v>
      </c>
      <c r="J67" s="7">
        <v>4</v>
      </c>
      <c r="K67" s="7">
        <v>7.3</v>
      </c>
      <c r="L67" s="288">
        <v>21.3</v>
      </c>
      <c r="M67" s="288">
        <v>35.5</v>
      </c>
      <c r="N67" s="288">
        <v>67.3</v>
      </c>
      <c r="O67" s="53">
        <f t="shared" si="0"/>
        <v>511.40000000000003</v>
      </c>
    </row>
    <row r="68" spans="1:15">
      <c r="A68" s="7"/>
      <c r="B68" s="6" t="s">
        <v>27</v>
      </c>
      <c r="C68" s="6" t="s">
        <v>45</v>
      </c>
      <c r="D68" s="6" t="s">
        <v>45</v>
      </c>
      <c r="E68" s="6" t="s">
        <v>45</v>
      </c>
      <c r="F68" s="6" t="s">
        <v>45</v>
      </c>
      <c r="G68" s="6" t="s">
        <v>45</v>
      </c>
      <c r="H68" s="6" t="s">
        <v>45</v>
      </c>
      <c r="I68" s="6" t="s">
        <v>45</v>
      </c>
      <c r="J68" s="6" t="s">
        <v>45</v>
      </c>
      <c r="K68" s="6" t="s">
        <v>45</v>
      </c>
      <c r="L68" s="288" t="s">
        <v>45</v>
      </c>
      <c r="M68" s="288" t="s">
        <v>45</v>
      </c>
      <c r="N68" s="288" t="s">
        <v>45</v>
      </c>
      <c r="O68" s="53">
        <f t="shared" si="0"/>
        <v>0</v>
      </c>
    </row>
    <row r="69" spans="1:15">
      <c r="A69" s="7"/>
      <c r="B69" s="19" t="s">
        <v>28</v>
      </c>
      <c r="C69" s="20">
        <v>3289.5</v>
      </c>
      <c r="D69" s="20">
        <v>3990.4</v>
      </c>
      <c r="E69" s="20">
        <v>3604.3</v>
      </c>
      <c r="F69" s="20">
        <v>2186.3000000000002</v>
      </c>
      <c r="G69" s="20">
        <v>2371.8000000000002</v>
      </c>
      <c r="H69" s="20">
        <v>1614.9</v>
      </c>
      <c r="I69" s="20">
        <v>1264.3</v>
      </c>
      <c r="J69" s="20">
        <v>380.6</v>
      </c>
      <c r="K69" s="20">
        <v>2617.8000000000002</v>
      </c>
      <c r="L69" s="294">
        <v>2666.3</v>
      </c>
      <c r="M69" s="294">
        <v>4213.3999999999996</v>
      </c>
      <c r="N69" s="294">
        <v>4517.8999999999996</v>
      </c>
      <c r="O69" s="54">
        <f t="shared" si="0"/>
        <v>32717.5</v>
      </c>
    </row>
    <row r="70" spans="1:15">
      <c r="A70" s="7"/>
      <c r="B70" s="6" t="s">
        <v>29</v>
      </c>
      <c r="C70" s="7">
        <v>588.4</v>
      </c>
      <c r="D70" s="7">
        <v>516.79999999999995</v>
      </c>
      <c r="E70" s="7">
        <v>469.1</v>
      </c>
      <c r="F70" s="7">
        <v>296.2</v>
      </c>
      <c r="G70" s="7">
        <v>177.1</v>
      </c>
      <c r="H70" s="7">
        <v>115</v>
      </c>
      <c r="I70" s="7">
        <v>71.3</v>
      </c>
      <c r="J70" s="7">
        <v>77.5</v>
      </c>
      <c r="K70" s="7">
        <v>66.5</v>
      </c>
      <c r="L70" s="288">
        <v>111.9</v>
      </c>
      <c r="M70" s="288">
        <v>378.8</v>
      </c>
      <c r="N70" s="288">
        <v>529.20000000000005</v>
      </c>
      <c r="O70" s="53">
        <f t="shared" si="0"/>
        <v>3397.8</v>
      </c>
    </row>
    <row r="71" spans="1:15">
      <c r="A71" s="7"/>
      <c r="B71" s="6" t="s">
        <v>30</v>
      </c>
      <c r="C71" s="6" t="s">
        <v>45</v>
      </c>
      <c r="D71" s="6" t="s">
        <v>45</v>
      </c>
      <c r="E71" s="6" t="s">
        <v>45</v>
      </c>
      <c r="F71" s="6" t="s">
        <v>45</v>
      </c>
      <c r="G71" s="6" t="s">
        <v>45</v>
      </c>
      <c r="H71" s="6" t="s">
        <v>45</v>
      </c>
      <c r="I71" s="6" t="s">
        <v>45</v>
      </c>
      <c r="J71" s="6" t="s">
        <v>45</v>
      </c>
      <c r="K71" s="6" t="s">
        <v>45</v>
      </c>
      <c r="L71" s="288" t="s">
        <v>45</v>
      </c>
      <c r="M71" s="288" t="s">
        <v>45</v>
      </c>
      <c r="N71" s="288" t="s">
        <v>45</v>
      </c>
      <c r="O71" s="53">
        <f t="shared" si="0"/>
        <v>0</v>
      </c>
    </row>
    <row r="72" spans="1:15">
      <c r="A72" s="7"/>
      <c r="B72" s="6" t="s">
        <v>31</v>
      </c>
      <c r="C72" s="7">
        <v>865.2</v>
      </c>
      <c r="D72" s="7">
        <v>653</v>
      </c>
      <c r="E72" s="7">
        <v>794</v>
      </c>
      <c r="F72" s="7">
        <v>491.7</v>
      </c>
      <c r="G72" s="7">
        <v>234.2</v>
      </c>
      <c r="H72" s="7">
        <v>180.3</v>
      </c>
      <c r="I72" s="7">
        <v>202.2</v>
      </c>
      <c r="J72" s="7">
        <v>245.7</v>
      </c>
      <c r="K72" s="7">
        <v>318</v>
      </c>
      <c r="L72" s="288">
        <v>439.1</v>
      </c>
      <c r="M72" s="288">
        <v>646.5</v>
      </c>
      <c r="N72" s="288">
        <v>775.5</v>
      </c>
      <c r="O72" s="53">
        <f t="shared" si="0"/>
        <v>5845.4</v>
      </c>
    </row>
    <row r="73" spans="1:15">
      <c r="A73" s="7"/>
      <c r="B73" s="6" t="s">
        <v>32</v>
      </c>
      <c r="C73" s="6" t="s">
        <v>45</v>
      </c>
      <c r="D73" s="6" t="s">
        <v>45</v>
      </c>
      <c r="E73" s="6" t="s">
        <v>45</v>
      </c>
      <c r="F73" s="6" t="s">
        <v>45</v>
      </c>
      <c r="G73" s="6" t="s">
        <v>45</v>
      </c>
      <c r="H73" s="6" t="s">
        <v>45</v>
      </c>
      <c r="I73" s="6" t="s">
        <v>45</v>
      </c>
      <c r="J73" s="6" t="s">
        <v>45</v>
      </c>
      <c r="K73" s="6" t="s">
        <v>45</v>
      </c>
      <c r="L73" s="288" t="s">
        <v>45</v>
      </c>
      <c r="M73" s="288" t="s">
        <v>45</v>
      </c>
      <c r="N73" s="288" t="s">
        <v>45</v>
      </c>
      <c r="O73" s="53">
        <f t="shared" si="0"/>
        <v>0</v>
      </c>
    </row>
    <row r="74" spans="1:15">
      <c r="A74" s="7"/>
      <c r="B74" s="6" t="s">
        <v>33</v>
      </c>
      <c r="C74" s="6" t="s">
        <v>45</v>
      </c>
      <c r="D74" s="6" t="s">
        <v>45</v>
      </c>
      <c r="E74" s="6" t="s">
        <v>45</v>
      </c>
      <c r="F74" s="6" t="s">
        <v>45</v>
      </c>
      <c r="G74" s="6" t="s">
        <v>45</v>
      </c>
      <c r="H74" s="6" t="s">
        <v>45</v>
      </c>
      <c r="I74" s="6" t="s">
        <v>45</v>
      </c>
      <c r="J74" s="6" t="s">
        <v>45</v>
      </c>
      <c r="K74" s="6" t="s">
        <v>45</v>
      </c>
      <c r="L74" s="288" t="s">
        <v>45</v>
      </c>
      <c r="M74" s="288" t="s">
        <v>45</v>
      </c>
      <c r="N74" s="288" t="s">
        <v>45</v>
      </c>
      <c r="O74" s="53">
        <f t="shared" si="0"/>
        <v>0</v>
      </c>
    </row>
    <row r="75" spans="1:15">
      <c r="A75" s="7"/>
      <c r="B75" s="6" t="s">
        <v>34</v>
      </c>
      <c r="C75" s="6" t="s">
        <v>45</v>
      </c>
      <c r="D75" s="6" t="s">
        <v>45</v>
      </c>
      <c r="E75" s="6" t="s">
        <v>45</v>
      </c>
      <c r="F75" s="6" t="s">
        <v>45</v>
      </c>
      <c r="G75" s="6" t="s">
        <v>45</v>
      </c>
      <c r="H75" s="6" t="s">
        <v>45</v>
      </c>
      <c r="I75" s="6" t="s">
        <v>45</v>
      </c>
      <c r="J75" s="6" t="s">
        <v>45</v>
      </c>
      <c r="K75" s="6" t="s">
        <v>45</v>
      </c>
      <c r="L75" s="288" t="s">
        <v>45</v>
      </c>
      <c r="M75" s="288" t="s">
        <v>45</v>
      </c>
      <c r="N75" s="288" t="s">
        <v>45</v>
      </c>
      <c r="O75" s="53">
        <f t="shared" si="0"/>
        <v>0</v>
      </c>
    </row>
    <row r="76" spans="1:15">
      <c r="A76" s="7"/>
      <c r="B76" s="6" t="s">
        <v>35</v>
      </c>
      <c r="C76" s="6" t="s">
        <v>45</v>
      </c>
      <c r="D76" s="6" t="s">
        <v>45</v>
      </c>
      <c r="E76" s="6" t="s">
        <v>45</v>
      </c>
      <c r="F76" s="6" t="s">
        <v>45</v>
      </c>
      <c r="G76" s="6" t="s">
        <v>45</v>
      </c>
      <c r="H76" s="6" t="s">
        <v>45</v>
      </c>
      <c r="I76" s="6" t="s">
        <v>45</v>
      </c>
      <c r="J76" s="6" t="s">
        <v>45</v>
      </c>
      <c r="K76" s="6" t="s">
        <v>45</v>
      </c>
      <c r="L76" s="288" t="s">
        <v>45</v>
      </c>
      <c r="M76" s="288" t="s">
        <v>45</v>
      </c>
      <c r="N76" s="288" t="s">
        <v>45</v>
      </c>
      <c r="O76" s="53">
        <f t="shared" si="0"/>
        <v>0</v>
      </c>
    </row>
    <row r="77" spans="1:15">
      <c r="A77" s="7"/>
      <c r="B77" s="6" t="s">
        <v>36</v>
      </c>
      <c r="C77" s="7">
        <v>2123.4</v>
      </c>
      <c r="D77" s="7">
        <v>1670.2</v>
      </c>
      <c r="E77" s="7">
        <v>1810.1</v>
      </c>
      <c r="F77" s="7">
        <v>1130.0999999999999</v>
      </c>
      <c r="G77" s="7">
        <v>588.1</v>
      </c>
      <c r="H77" s="7">
        <v>382.4</v>
      </c>
      <c r="I77" s="7">
        <v>450.3</v>
      </c>
      <c r="J77" s="7">
        <v>336.1</v>
      </c>
      <c r="K77" s="7">
        <v>251.8</v>
      </c>
      <c r="L77" s="288">
        <v>477.9</v>
      </c>
      <c r="M77" s="288">
        <v>1065.5</v>
      </c>
      <c r="N77" s="288">
        <v>1367.2</v>
      </c>
      <c r="O77" s="53">
        <f t="shared" si="0"/>
        <v>11653.1</v>
      </c>
    </row>
    <row r="78" spans="1:15">
      <c r="A78" s="7"/>
      <c r="B78" s="6" t="s">
        <v>37</v>
      </c>
      <c r="C78" s="6" t="s">
        <v>45</v>
      </c>
      <c r="D78" s="6" t="s">
        <v>45</v>
      </c>
      <c r="E78" s="6" t="s">
        <v>45</v>
      </c>
      <c r="F78" s="6" t="s">
        <v>45</v>
      </c>
      <c r="G78" s="6" t="s">
        <v>45</v>
      </c>
      <c r="H78" s="6" t="s">
        <v>45</v>
      </c>
      <c r="I78" s="6" t="s">
        <v>45</v>
      </c>
      <c r="J78" s="6" t="s">
        <v>45</v>
      </c>
      <c r="K78" s="6" t="s">
        <v>45</v>
      </c>
      <c r="L78" s="288" t="s">
        <v>45</v>
      </c>
      <c r="M78" s="288" t="s">
        <v>45</v>
      </c>
      <c r="N78" s="288" t="s">
        <v>45</v>
      </c>
      <c r="O78" s="53">
        <f t="shared" ref="O78:O137" si="1">SUM(C78:N78)</f>
        <v>0</v>
      </c>
    </row>
    <row r="79" spans="1:15">
      <c r="A79" s="7"/>
      <c r="B79" s="6" t="s">
        <v>38</v>
      </c>
      <c r="C79" s="7">
        <v>400.91829999999999</v>
      </c>
      <c r="D79" s="7">
        <v>350.95909999999998</v>
      </c>
      <c r="E79" s="7">
        <v>380.26580000000001</v>
      </c>
      <c r="F79" s="7">
        <v>244.71449999999999</v>
      </c>
      <c r="G79" s="7">
        <v>131.5033</v>
      </c>
      <c r="H79" s="7">
        <v>87.067999999999998</v>
      </c>
      <c r="I79" s="7">
        <v>23.431699999999999</v>
      </c>
      <c r="J79" s="7">
        <v>30.810300000000002</v>
      </c>
      <c r="K79" s="7">
        <v>38.448900000000002</v>
      </c>
      <c r="L79" s="288">
        <v>98.545599999999993</v>
      </c>
      <c r="M79" s="288">
        <v>219.40309999999999</v>
      </c>
      <c r="N79" s="288">
        <v>244.8708</v>
      </c>
      <c r="O79" s="53">
        <f t="shared" si="1"/>
        <v>2250.9394000000002</v>
      </c>
    </row>
    <row r="80" spans="1:15">
      <c r="A80" s="7"/>
      <c r="B80" s="6" t="s">
        <v>39</v>
      </c>
      <c r="C80" s="7">
        <v>15.565099999999999</v>
      </c>
      <c r="D80" s="7">
        <v>38.744700000000002</v>
      </c>
      <c r="E80" s="7">
        <v>49.158700000000003</v>
      </c>
      <c r="F80" s="7">
        <v>24.523399999999999</v>
      </c>
      <c r="G80" s="7">
        <v>40.984299999999998</v>
      </c>
      <c r="H80" s="7">
        <v>2.9115000000000002</v>
      </c>
      <c r="I80" s="6">
        <v>2.4634999999999998</v>
      </c>
      <c r="J80" s="6">
        <v>2.7995000000000001</v>
      </c>
      <c r="K80" s="7">
        <v>16.3489</v>
      </c>
      <c r="L80" s="288">
        <v>52.2941</v>
      </c>
      <c r="M80" s="288">
        <v>39.528599999999997</v>
      </c>
      <c r="N80" s="288">
        <v>32.809800000000003</v>
      </c>
      <c r="O80" s="53">
        <f t="shared" si="1"/>
        <v>318.13209999999998</v>
      </c>
    </row>
    <row r="81" spans="1:15">
      <c r="A81" s="7"/>
      <c r="B81" s="6" t="s">
        <v>40</v>
      </c>
      <c r="C81" s="7">
        <v>128.5</v>
      </c>
      <c r="D81" s="7">
        <v>138.1</v>
      </c>
      <c r="E81" s="7">
        <v>110.8</v>
      </c>
      <c r="F81" s="7">
        <v>78.099999999999994</v>
      </c>
      <c r="G81" s="7">
        <v>15.2</v>
      </c>
      <c r="H81" s="7">
        <v>16.899999999999999</v>
      </c>
      <c r="I81" s="7">
        <v>0.4</v>
      </c>
      <c r="J81" s="7">
        <v>1.6</v>
      </c>
      <c r="K81" s="7">
        <v>1.2</v>
      </c>
      <c r="L81" s="288">
        <v>11</v>
      </c>
      <c r="M81" s="288">
        <v>53.9</v>
      </c>
      <c r="N81" s="288">
        <v>76.599999999999994</v>
      </c>
      <c r="O81" s="53">
        <f t="shared" si="1"/>
        <v>632.29999999999995</v>
      </c>
    </row>
    <row r="82" spans="1:15">
      <c r="A82" s="7"/>
      <c r="B82" s="6" t="s">
        <v>41</v>
      </c>
      <c r="C82" s="7">
        <v>1604.6</v>
      </c>
      <c r="D82" s="7">
        <v>1359.1</v>
      </c>
      <c r="E82" s="7">
        <v>1291.9000000000001</v>
      </c>
      <c r="F82" s="7">
        <v>658.6</v>
      </c>
      <c r="G82" s="7">
        <v>490.5</v>
      </c>
      <c r="H82" s="7">
        <v>259.2</v>
      </c>
      <c r="I82" s="7">
        <v>182</v>
      </c>
      <c r="J82" s="7">
        <v>176.5</v>
      </c>
      <c r="K82" s="7">
        <v>213.8</v>
      </c>
      <c r="L82" s="288">
        <v>564.79999999999995</v>
      </c>
      <c r="M82" s="288">
        <v>966.9</v>
      </c>
      <c r="N82" s="288">
        <v>1211.8</v>
      </c>
      <c r="O82" s="53">
        <f t="shared" si="1"/>
        <v>8979.7000000000007</v>
      </c>
    </row>
    <row r="83" spans="1:15" s="287" customFormat="1">
      <c r="A83" s="8"/>
      <c r="B83" s="9" t="s">
        <v>42</v>
      </c>
      <c r="C83" s="8">
        <v>9133.0833999999995</v>
      </c>
      <c r="D83" s="8">
        <v>8800.3037999999997</v>
      </c>
      <c r="E83" s="8">
        <v>8592.0245000000014</v>
      </c>
      <c r="F83" s="8">
        <v>5163.3379000000004</v>
      </c>
      <c r="G83" s="8">
        <v>4068.1876000000002</v>
      </c>
      <c r="H83" s="8">
        <v>2674.9794999999999</v>
      </c>
      <c r="I83" s="8">
        <v>2201.7952</v>
      </c>
      <c r="J83" s="8">
        <v>1255.6098</v>
      </c>
      <c r="K83" s="8">
        <v>3531.1977999999999</v>
      </c>
      <c r="L83" s="9">
        <v>4443.1396999999997</v>
      </c>
      <c r="M83" s="9">
        <v>7619.4316999999992</v>
      </c>
      <c r="N83" s="9">
        <v>8823.1805999999997</v>
      </c>
      <c r="O83" s="53">
        <f t="shared" si="1"/>
        <v>66306.271500000003</v>
      </c>
    </row>
    <row r="84" spans="1:15">
      <c r="A84" s="7"/>
      <c r="B84" s="6"/>
      <c r="C84" s="7"/>
      <c r="D84" s="7"/>
      <c r="E84" s="7"/>
      <c r="F84" s="7"/>
      <c r="G84" s="7"/>
      <c r="H84" s="7"/>
      <c r="I84" s="7"/>
      <c r="J84" s="7"/>
      <c r="K84" s="7"/>
      <c r="L84" s="288"/>
      <c r="M84" s="288"/>
      <c r="N84" s="288"/>
      <c r="O84" s="53"/>
    </row>
    <row r="85" spans="1:15">
      <c r="A85" s="6" t="s">
        <v>47</v>
      </c>
      <c r="B85" s="6" t="s">
        <v>26</v>
      </c>
      <c r="C85" s="6" t="s">
        <v>45</v>
      </c>
      <c r="D85" s="6">
        <v>16387</v>
      </c>
      <c r="E85" s="6" t="s">
        <v>45</v>
      </c>
      <c r="F85" s="6" t="s">
        <v>45</v>
      </c>
      <c r="G85" s="6" t="s">
        <v>45</v>
      </c>
      <c r="H85" s="6" t="s">
        <v>45</v>
      </c>
      <c r="I85" s="6" t="s">
        <v>45</v>
      </c>
      <c r="J85" s="6" t="s">
        <v>45</v>
      </c>
      <c r="K85" s="6" t="s">
        <v>45</v>
      </c>
      <c r="L85" s="288" t="s">
        <v>45</v>
      </c>
      <c r="M85" s="288" t="s">
        <v>45</v>
      </c>
      <c r="N85" s="288" t="s">
        <v>45</v>
      </c>
      <c r="O85" s="53">
        <f t="shared" si="1"/>
        <v>16387</v>
      </c>
    </row>
    <row r="86" spans="1:15">
      <c r="A86" s="7"/>
      <c r="B86" s="6" t="s">
        <v>27</v>
      </c>
      <c r="C86" s="6" t="s">
        <v>45</v>
      </c>
      <c r="D86" s="7">
        <v>17953</v>
      </c>
      <c r="E86" s="7">
        <v>7037</v>
      </c>
      <c r="F86" s="7">
        <v>2906</v>
      </c>
      <c r="G86" s="7">
        <v>3702</v>
      </c>
      <c r="H86" s="7">
        <v>2672</v>
      </c>
      <c r="I86" s="7">
        <v>2240</v>
      </c>
      <c r="J86" s="7">
        <v>2599</v>
      </c>
      <c r="K86" s="7">
        <v>3991</v>
      </c>
      <c r="L86" s="288">
        <v>5373</v>
      </c>
      <c r="M86" s="288">
        <v>5386</v>
      </c>
      <c r="N86" s="288">
        <v>5180</v>
      </c>
      <c r="O86" s="53">
        <f t="shared" si="1"/>
        <v>59039</v>
      </c>
    </row>
    <row r="87" spans="1:15">
      <c r="A87" s="7"/>
      <c r="B87" s="19" t="s">
        <v>28</v>
      </c>
      <c r="C87" s="20">
        <v>12301</v>
      </c>
      <c r="D87" s="20">
        <v>1605</v>
      </c>
      <c r="E87" s="20">
        <v>7824</v>
      </c>
      <c r="F87" s="20">
        <v>6825</v>
      </c>
      <c r="G87" s="20">
        <v>12243</v>
      </c>
      <c r="H87" s="20">
        <v>34436</v>
      </c>
      <c r="I87" s="20">
        <v>36662</v>
      </c>
      <c r="J87" s="20">
        <v>35575</v>
      </c>
      <c r="K87" s="20">
        <v>37014</v>
      </c>
      <c r="L87" s="294">
        <v>41645</v>
      </c>
      <c r="M87" s="294">
        <v>23024</v>
      </c>
      <c r="N87" s="294">
        <v>29306</v>
      </c>
      <c r="O87" s="54">
        <f t="shared" si="1"/>
        <v>278460</v>
      </c>
    </row>
    <row r="88" spans="1:15">
      <c r="A88" s="7"/>
      <c r="B88" s="6" t="s">
        <v>29</v>
      </c>
      <c r="C88" s="6" t="s">
        <v>45</v>
      </c>
      <c r="D88" s="7">
        <v>16467</v>
      </c>
      <c r="E88" s="6" t="s">
        <v>45</v>
      </c>
      <c r="F88" s="7">
        <v>11698</v>
      </c>
      <c r="G88" s="7">
        <v>37978</v>
      </c>
      <c r="H88" s="7">
        <v>13733.9</v>
      </c>
      <c r="I88" s="7">
        <v>11424.6</v>
      </c>
      <c r="J88" s="7">
        <v>10970.1</v>
      </c>
      <c r="K88" s="7">
        <v>10623</v>
      </c>
      <c r="L88" s="288">
        <v>12603</v>
      </c>
      <c r="M88" s="288">
        <v>10336</v>
      </c>
      <c r="N88" s="288">
        <v>11752</v>
      </c>
      <c r="O88" s="53">
        <f t="shared" si="1"/>
        <v>147585.60000000001</v>
      </c>
    </row>
    <row r="89" spans="1:15">
      <c r="A89" s="7"/>
      <c r="B89" s="6" t="s">
        <v>30</v>
      </c>
      <c r="C89" s="6" t="s">
        <v>45</v>
      </c>
      <c r="D89" s="6" t="s">
        <v>45</v>
      </c>
      <c r="E89" s="6" t="s">
        <v>45</v>
      </c>
      <c r="F89" s="6" t="s">
        <v>45</v>
      </c>
      <c r="G89" s="6" t="s">
        <v>45</v>
      </c>
      <c r="H89" s="6" t="s">
        <v>45</v>
      </c>
      <c r="I89" s="6" t="s">
        <v>45</v>
      </c>
      <c r="J89" s="6" t="s">
        <v>45</v>
      </c>
      <c r="K89" s="6" t="s">
        <v>45</v>
      </c>
      <c r="L89" s="288" t="s">
        <v>45</v>
      </c>
      <c r="M89" s="288" t="s">
        <v>45</v>
      </c>
      <c r="N89" s="288" t="s">
        <v>45</v>
      </c>
      <c r="O89" s="53">
        <f t="shared" si="1"/>
        <v>0</v>
      </c>
    </row>
    <row r="90" spans="1:15">
      <c r="A90" s="7"/>
      <c r="B90" s="6" t="s">
        <v>31</v>
      </c>
      <c r="C90" s="6" t="s">
        <v>45</v>
      </c>
      <c r="D90" s="6" t="s">
        <v>45</v>
      </c>
      <c r="E90" s="6" t="s">
        <v>45</v>
      </c>
      <c r="F90" s="6" t="s">
        <v>45</v>
      </c>
      <c r="G90" s="6" t="s">
        <v>45</v>
      </c>
      <c r="H90" s="6" t="s">
        <v>45</v>
      </c>
      <c r="I90" s="6" t="s">
        <v>45</v>
      </c>
      <c r="J90" s="6" t="s">
        <v>45</v>
      </c>
      <c r="K90" s="6" t="s">
        <v>45</v>
      </c>
      <c r="L90" s="288" t="s">
        <v>45</v>
      </c>
      <c r="M90" s="288" t="s">
        <v>45</v>
      </c>
      <c r="N90" s="288" t="s">
        <v>45</v>
      </c>
      <c r="O90" s="53">
        <f t="shared" si="1"/>
        <v>0</v>
      </c>
    </row>
    <row r="91" spans="1:15">
      <c r="A91" s="7"/>
      <c r="B91" s="6" t="s">
        <v>32</v>
      </c>
      <c r="C91" s="7">
        <v>36046</v>
      </c>
      <c r="D91" s="7">
        <v>49341</v>
      </c>
      <c r="E91" s="7">
        <v>48389</v>
      </c>
      <c r="F91" s="7">
        <v>28404</v>
      </c>
      <c r="G91" s="7">
        <v>24438</v>
      </c>
      <c r="H91" s="7">
        <v>20238</v>
      </c>
      <c r="I91" s="7">
        <v>2158</v>
      </c>
      <c r="J91" s="6" t="s">
        <v>45</v>
      </c>
      <c r="K91" s="7">
        <v>34178</v>
      </c>
      <c r="L91" s="288">
        <v>12390</v>
      </c>
      <c r="M91" s="288">
        <v>54532</v>
      </c>
      <c r="N91" s="288">
        <v>65171</v>
      </c>
      <c r="O91" s="53">
        <f t="shared" si="1"/>
        <v>375285</v>
      </c>
    </row>
    <row r="92" spans="1:15">
      <c r="A92" s="7"/>
      <c r="B92" s="6" t="s">
        <v>33</v>
      </c>
      <c r="C92" s="6" t="s">
        <v>45</v>
      </c>
      <c r="D92" s="6" t="s">
        <v>45</v>
      </c>
      <c r="E92" s="6" t="s">
        <v>45</v>
      </c>
      <c r="F92" s="6" t="s">
        <v>45</v>
      </c>
      <c r="G92" s="6" t="s">
        <v>45</v>
      </c>
      <c r="H92" s="6" t="s">
        <v>45</v>
      </c>
      <c r="I92" s="6" t="s">
        <v>45</v>
      </c>
      <c r="J92" s="6" t="s">
        <v>45</v>
      </c>
      <c r="K92" s="6" t="s">
        <v>45</v>
      </c>
      <c r="L92" s="288" t="s">
        <v>45</v>
      </c>
      <c r="M92" s="288" t="s">
        <v>45</v>
      </c>
      <c r="N92" s="288" t="s">
        <v>45</v>
      </c>
      <c r="O92" s="53">
        <f t="shared" si="1"/>
        <v>0</v>
      </c>
    </row>
    <row r="93" spans="1:15">
      <c r="A93" s="7"/>
      <c r="B93" s="6" t="s">
        <v>34</v>
      </c>
      <c r="C93" s="6" t="s">
        <v>45</v>
      </c>
      <c r="D93" s="6" t="s">
        <v>45</v>
      </c>
      <c r="E93" s="6" t="s">
        <v>45</v>
      </c>
      <c r="F93" s="6" t="s">
        <v>45</v>
      </c>
      <c r="G93" s="6" t="s">
        <v>45</v>
      </c>
      <c r="H93" s="6" t="s">
        <v>45</v>
      </c>
      <c r="I93" s="6" t="s">
        <v>45</v>
      </c>
      <c r="J93" s="6" t="s">
        <v>45</v>
      </c>
      <c r="K93" s="6" t="s">
        <v>45</v>
      </c>
      <c r="L93" s="288" t="s">
        <v>45</v>
      </c>
      <c r="M93" s="288" t="s">
        <v>45</v>
      </c>
      <c r="N93" s="288" t="s">
        <v>45</v>
      </c>
      <c r="O93" s="53">
        <f t="shared" si="1"/>
        <v>0</v>
      </c>
    </row>
    <row r="94" spans="1:15">
      <c r="A94" s="7"/>
      <c r="B94" s="6" t="s">
        <v>35</v>
      </c>
      <c r="C94" s="6" t="s">
        <v>45</v>
      </c>
      <c r="D94" s="6" t="s">
        <v>45</v>
      </c>
      <c r="E94" s="6" t="s">
        <v>45</v>
      </c>
      <c r="F94" s="6" t="s">
        <v>45</v>
      </c>
      <c r="G94" s="6" t="s">
        <v>45</v>
      </c>
      <c r="H94" s="6" t="s">
        <v>45</v>
      </c>
      <c r="I94" s="6" t="s">
        <v>45</v>
      </c>
      <c r="J94" s="6" t="s">
        <v>45</v>
      </c>
      <c r="K94" s="6" t="s">
        <v>45</v>
      </c>
      <c r="L94" s="288" t="s">
        <v>45</v>
      </c>
      <c r="M94" s="288" t="s">
        <v>45</v>
      </c>
      <c r="N94" s="288" t="s">
        <v>45</v>
      </c>
      <c r="O94" s="53">
        <f t="shared" si="1"/>
        <v>0</v>
      </c>
    </row>
    <row r="95" spans="1:15">
      <c r="A95" s="7"/>
      <c r="B95" s="6" t="s">
        <v>36</v>
      </c>
      <c r="C95" s="7">
        <v>8861</v>
      </c>
      <c r="D95" s="7">
        <v>7985</v>
      </c>
      <c r="E95" s="7">
        <v>8732</v>
      </c>
      <c r="F95" s="7">
        <v>8567</v>
      </c>
      <c r="G95" s="7">
        <v>8978</v>
      </c>
      <c r="H95" s="7">
        <v>8627</v>
      </c>
      <c r="I95" s="7">
        <v>9108</v>
      </c>
      <c r="J95" s="7">
        <v>8369</v>
      </c>
      <c r="K95" s="7">
        <v>7311</v>
      </c>
      <c r="L95" s="288">
        <v>8682</v>
      </c>
      <c r="M95" s="288">
        <v>7564</v>
      </c>
      <c r="N95" s="288">
        <v>8264</v>
      </c>
      <c r="O95" s="53">
        <f t="shared" si="1"/>
        <v>101048</v>
      </c>
    </row>
    <row r="96" spans="1:15">
      <c r="A96" s="7"/>
      <c r="B96" s="6" t="s">
        <v>37</v>
      </c>
      <c r="C96" s="6" t="s">
        <v>45</v>
      </c>
      <c r="D96" s="6" t="s">
        <v>45</v>
      </c>
      <c r="E96" s="6" t="s">
        <v>45</v>
      </c>
      <c r="F96" s="6" t="s">
        <v>45</v>
      </c>
      <c r="G96" s="6" t="s">
        <v>45</v>
      </c>
      <c r="H96" s="6" t="s">
        <v>45</v>
      </c>
      <c r="I96" s="6" t="s">
        <v>45</v>
      </c>
      <c r="J96" s="6" t="s">
        <v>45</v>
      </c>
      <c r="K96" s="6" t="s">
        <v>45</v>
      </c>
      <c r="L96" s="288" t="s">
        <v>45</v>
      </c>
      <c r="M96" s="288" t="s">
        <v>45</v>
      </c>
      <c r="N96" s="288" t="s">
        <v>45</v>
      </c>
      <c r="O96" s="53">
        <f t="shared" si="1"/>
        <v>0</v>
      </c>
    </row>
    <row r="97" spans="1:15">
      <c r="A97" s="7"/>
      <c r="B97" s="6" t="s">
        <v>38</v>
      </c>
      <c r="C97" s="6" t="s">
        <v>45</v>
      </c>
      <c r="D97" s="7">
        <v>16784</v>
      </c>
      <c r="E97" s="7">
        <v>6412</v>
      </c>
      <c r="F97" s="7">
        <v>16116</v>
      </c>
      <c r="G97" s="7">
        <v>26996</v>
      </c>
      <c r="H97" s="7">
        <v>26380</v>
      </c>
      <c r="I97" s="7">
        <v>26574</v>
      </c>
      <c r="J97" s="7">
        <v>11781</v>
      </c>
      <c r="K97" s="7">
        <v>36286</v>
      </c>
      <c r="L97" s="288">
        <v>27895</v>
      </c>
      <c r="M97" s="288">
        <v>38119</v>
      </c>
      <c r="N97" s="288">
        <v>40192</v>
      </c>
      <c r="O97" s="53">
        <f t="shared" si="1"/>
        <v>273535</v>
      </c>
    </row>
    <row r="98" spans="1:15">
      <c r="A98" s="7"/>
      <c r="B98" s="6" t="s">
        <v>39</v>
      </c>
      <c r="C98" s="7">
        <v>22294</v>
      </c>
      <c r="D98" s="7">
        <v>11283</v>
      </c>
      <c r="E98" s="7">
        <v>14030</v>
      </c>
      <c r="F98" s="7">
        <v>15112</v>
      </c>
      <c r="G98" s="7">
        <v>17792</v>
      </c>
      <c r="H98" s="7">
        <v>15803</v>
      </c>
      <c r="I98" s="7">
        <v>12732</v>
      </c>
      <c r="J98" s="7">
        <v>13123</v>
      </c>
      <c r="K98" s="7">
        <v>16791</v>
      </c>
      <c r="L98" s="288">
        <v>16847</v>
      </c>
      <c r="M98" s="288">
        <v>20727</v>
      </c>
      <c r="N98" s="288">
        <v>22509</v>
      </c>
      <c r="O98" s="53">
        <f t="shared" si="1"/>
        <v>199043</v>
      </c>
    </row>
    <row r="99" spans="1:15">
      <c r="A99" s="7"/>
      <c r="B99" s="6" t="s">
        <v>40</v>
      </c>
      <c r="C99" s="6" t="s">
        <v>45</v>
      </c>
      <c r="D99" s="6">
        <v>10753</v>
      </c>
      <c r="E99" s="6">
        <v>2892</v>
      </c>
      <c r="F99" s="6" t="s">
        <v>45</v>
      </c>
      <c r="G99" s="6" t="s">
        <v>45</v>
      </c>
      <c r="H99" s="6" t="s">
        <v>45</v>
      </c>
      <c r="I99" s="6" t="s">
        <v>45</v>
      </c>
      <c r="J99" s="6" t="s">
        <v>45</v>
      </c>
      <c r="K99" s="6" t="s">
        <v>45</v>
      </c>
      <c r="L99" s="288" t="s">
        <v>45</v>
      </c>
      <c r="M99" s="288" t="s">
        <v>45</v>
      </c>
      <c r="N99" s="288" t="s">
        <v>45</v>
      </c>
      <c r="O99" s="53">
        <f t="shared" si="1"/>
        <v>13645</v>
      </c>
    </row>
    <row r="100" spans="1:15">
      <c r="A100" s="7"/>
      <c r="B100" s="6" t="s">
        <v>41</v>
      </c>
      <c r="C100" s="6" t="s">
        <v>45</v>
      </c>
      <c r="D100" s="6" t="s">
        <v>45</v>
      </c>
      <c r="E100" s="6" t="s">
        <v>45</v>
      </c>
      <c r="F100" s="6" t="s">
        <v>45</v>
      </c>
      <c r="G100" s="6" t="s">
        <v>45</v>
      </c>
      <c r="H100" s="6" t="s">
        <v>45</v>
      </c>
      <c r="I100" s="6" t="s">
        <v>45</v>
      </c>
      <c r="J100" s="6" t="s">
        <v>45</v>
      </c>
      <c r="K100" s="6" t="s">
        <v>45</v>
      </c>
      <c r="L100" s="288" t="s">
        <v>45</v>
      </c>
      <c r="M100" s="288" t="s">
        <v>45</v>
      </c>
      <c r="N100" s="288" t="s">
        <v>45</v>
      </c>
      <c r="O100" s="53">
        <f t="shared" si="1"/>
        <v>0</v>
      </c>
    </row>
    <row r="101" spans="1:15" s="287" customFormat="1">
      <c r="A101" s="8"/>
      <c r="B101" s="9" t="s">
        <v>42</v>
      </c>
      <c r="C101" s="8">
        <v>79502</v>
      </c>
      <c r="D101" s="8">
        <v>148558</v>
      </c>
      <c r="E101" s="8">
        <v>95316</v>
      </c>
      <c r="F101" s="8">
        <v>89628</v>
      </c>
      <c r="G101" s="8">
        <v>132127</v>
      </c>
      <c r="H101" s="8">
        <v>121889.9</v>
      </c>
      <c r="I101" s="8">
        <v>100898.6</v>
      </c>
      <c r="J101" s="8">
        <v>82417.100000000006</v>
      </c>
      <c r="K101" s="8">
        <v>146194</v>
      </c>
      <c r="L101" s="9">
        <v>125435</v>
      </c>
      <c r="M101" s="9">
        <v>159688</v>
      </c>
      <c r="N101" s="9">
        <v>182374</v>
      </c>
      <c r="O101" s="53">
        <f t="shared" si="1"/>
        <v>1464027.6</v>
      </c>
    </row>
    <row r="102" spans="1:15">
      <c r="A102" s="7"/>
      <c r="B102" s="6"/>
      <c r="C102" s="7"/>
      <c r="D102" s="7"/>
      <c r="E102" s="7"/>
      <c r="F102" s="7"/>
      <c r="G102" s="7"/>
      <c r="H102" s="7"/>
      <c r="I102" s="7"/>
      <c r="J102" s="7"/>
      <c r="K102" s="7"/>
      <c r="L102" s="288"/>
      <c r="M102" s="288"/>
      <c r="N102" s="288"/>
      <c r="O102" s="53"/>
    </row>
    <row r="103" spans="1:15">
      <c r="A103" s="6" t="s">
        <v>48</v>
      </c>
      <c r="B103" s="6" t="s">
        <v>26</v>
      </c>
      <c r="C103" s="7">
        <v>183.5941</v>
      </c>
      <c r="D103" s="7">
        <v>151.38890000000001</v>
      </c>
      <c r="E103" s="7">
        <v>166.06360000000001</v>
      </c>
      <c r="F103" s="7">
        <v>72.109700000000004</v>
      </c>
      <c r="G103" s="7">
        <v>62.004899999999999</v>
      </c>
      <c r="H103" s="7">
        <v>14.102600000000001</v>
      </c>
      <c r="I103" s="7">
        <v>8.3000000000000007</v>
      </c>
      <c r="J103" s="7">
        <v>8.9</v>
      </c>
      <c r="K103" s="7">
        <v>8.1</v>
      </c>
      <c r="L103" s="288">
        <v>44.219299999999997</v>
      </c>
      <c r="M103" s="288">
        <v>96.484399999999994</v>
      </c>
      <c r="N103" s="288">
        <v>118.5975</v>
      </c>
      <c r="O103" s="53">
        <f t="shared" si="1"/>
        <v>933.8649999999999</v>
      </c>
    </row>
    <row r="104" spans="1:15">
      <c r="A104" s="7"/>
      <c r="B104" s="6" t="s">
        <v>27</v>
      </c>
      <c r="C104" s="7">
        <v>64.901499999999999</v>
      </c>
      <c r="D104" s="7">
        <v>68.125</v>
      </c>
      <c r="E104" s="7">
        <v>71.993300000000005</v>
      </c>
      <c r="F104" s="7">
        <v>40.402200000000001</v>
      </c>
      <c r="G104" s="7">
        <v>37.178699999999999</v>
      </c>
      <c r="H104" s="7">
        <v>16.117899999999999</v>
      </c>
      <c r="I104" s="7">
        <v>9.6707000000000001</v>
      </c>
      <c r="J104" s="7">
        <v>10.7453</v>
      </c>
      <c r="K104" s="7">
        <v>9.4558</v>
      </c>
      <c r="L104" s="288">
        <v>30.3017</v>
      </c>
      <c r="M104" s="288">
        <v>46.634500000000003</v>
      </c>
      <c r="N104" s="288">
        <v>44.055599999999998</v>
      </c>
      <c r="O104" s="53">
        <f t="shared" si="1"/>
        <v>449.58220000000006</v>
      </c>
    </row>
    <row r="105" spans="1:15">
      <c r="A105" s="7"/>
      <c r="B105" s="19" t="s">
        <v>28</v>
      </c>
      <c r="C105" s="20">
        <v>195.4</v>
      </c>
      <c r="D105" s="20">
        <v>234.1</v>
      </c>
      <c r="E105" s="19">
        <v>183.2</v>
      </c>
      <c r="F105" s="19">
        <v>77.400000000000006</v>
      </c>
      <c r="G105" s="19">
        <v>72.099999999999994</v>
      </c>
      <c r="H105" s="19">
        <v>26.3</v>
      </c>
      <c r="I105" s="19" t="s">
        <v>45</v>
      </c>
      <c r="J105" s="19">
        <v>35.6</v>
      </c>
      <c r="K105" s="19">
        <v>34.299999999999997</v>
      </c>
      <c r="L105" s="294">
        <v>103.9</v>
      </c>
      <c r="M105" s="294">
        <v>146.4</v>
      </c>
      <c r="N105" s="294">
        <v>182.8</v>
      </c>
      <c r="O105" s="54">
        <f t="shared" si="1"/>
        <v>1291.5</v>
      </c>
    </row>
    <row r="106" spans="1:15">
      <c r="A106" s="7"/>
      <c r="B106" s="6" t="s">
        <v>29</v>
      </c>
      <c r="C106" s="7">
        <v>116.3232</v>
      </c>
      <c r="D106" s="7">
        <v>129.50579999999999</v>
      </c>
      <c r="E106" s="7">
        <v>107.81019999999999</v>
      </c>
      <c r="F106" s="7">
        <v>78.170400000000001</v>
      </c>
      <c r="G106" s="7">
        <v>42.785600000000002</v>
      </c>
      <c r="H106" s="7">
        <v>22.637599999999999</v>
      </c>
      <c r="I106" s="7">
        <v>17.804400000000001</v>
      </c>
      <c r="J106" s="7">
        <v>13.2</v>
      </c>
      <c r="K106" s="7">
        <v>15.1</v>
      </c>
      <c r="L106" s="288">
        <v>22.4</v>
      </c>
      <c r="M106" s="288">
        <v>66.276399999999995</v>
      </c>
      <c r="N106" s="288">
        <v>98.87</v>
      </c>
      <c r="O106" s="53">
        <f t="shared" si="1"/>
        <v>730.88360000000011</v>
      </c>
    </row>
    <row r="107" spans="1:15">
      <c r="A107" s="7"/>
      <c r="B107" s="6" t="s">
        <v>30</v>
      </c>
      <c r="C107" s="7">
        <v>39.225000000000001</v>
      </c>
      <c r="D107" s="7">
        <v>39.828499999999998</v>
      </c>
      <c r="E107" s="7">
        <v>37.816899999999997</v>
      </c>
      <c r="F107" s="7">
        <v>20.115400000000001</v>
      </c>
      <c r="G107" s="7">
        <v>18.305</v>
      </c>
      <c r="H107" s="7">
        <v>21.523499999999999</v>
      </c>
      <c r="I107" s="7">
        <v>18.9085</v>
      </c>
      <c r="J107" s="7">
        <v>19.914200000000001</v>
      </c>
      <c r="K107" s="7">
        <v>18.305</v>
      </c>
      <c r="L107" s="288">
        <v>21.322299999999998</v>
      </c>
      <c r="M107" s="288">
        <v>29.368500000000001</v>
      </c>
      <c r="N107" s="288">
        <v>31.983499999999999</v>
      </c>
      <c r="O107" s="53">
        <f t="shared" si="1"/>
        <v>316.61629999999997</v>
      </c>
    </row>
    <row r="108" spans="1:15">
      <c r="A108" s="7"/>
      <c r="B108" s="6" t="s">
        <v>31</v>
      </c>
      <c r="C108" s="7">
        <v>50.7</v>
      </c>
      <c r="D108" s="7">
        <v>66.5</v>
      </c>
      <c r="E108" s="7">
        <v>74.2</v>
      </c>
      <c r="F108" s="7">
        <v>65.2</v>
      </c>
      <c r="G108" s="7">
        <v>63.9</v>
      </c>
      <c r="H108" s="7">
        <v>60.4</v>
      </c>
      <c r="I108" s="7">
        <v>34.799999999999997</v>
      </c>
      <c r="J108" s="7">
        <v>19.399999999999999</v>
      </c>
      <c r="K108" s="7">
        <v>0.2</v>
      </c>
      <c r="L108" s="288">
        <v>13.5</v>
      </c>
      <c r="M108" s="288">
        <v>44.8</v>
      </c>
      <c r="N108" s="288">
        <v>53.1</v>
      </c>
      <c r="O108" s="53">
        <f t="shared" si="1"/>
        <v>546.69999999999993</v>
      </c>
    </row>
    <row r="109" spans="1:15">
      <c r="A109" s="7"/>
      <c r="B109" s="6" t="s">
        <v>32</v>
      </c>
      <c r="C109" s="7">
        <v>227.6</v>
      </c>
      <c r="D109" s="7">
        <v>121.6</v>
      </c>
      <c r="E109" s="7">
        <v>402.9</v>
      </c>
      <c r="F109" s="7">
        <v>590.5</v>
      </c>
      <c r="G109" s="7">
        <v>72.3</v>
      </c>
      <c r="H109" s="7">
        <v>56.6</v>
      </c>
      <c r="I109" s="7">
        <v>8.8000000000000007</v>
      </c>
      <c r="J109" s="7">
        <v>217.2</v>
      </c>
      <c r="K109" s="7">
        <v>538.5</v>
      </c>
      <c r="L109" s="288">
        <v>17.399999999999999</v>
      </c>
      <c r="M109" s="288">
        <v>852.91930000000002</v>
      </c>
      <c r="N109" s="288">
        <v>370.38920000000002</v>
      </c>
      <c r="O109" s="53">
        <f t="shared" si="1"/>
        <v>3476.7085000000002</v>
      </c>
    </row>
    <row r="110" spans="1:15">
      <c r="A110" s="7"/>
      <c r="B110" s="6" t="s">
        <v>33</v>
      </c>
      <c r="C110" s="6" t="s">
        <v>45</v>
      </c>
      <c r="D110" s="6" t="s">
        <v>45</v>
      </c>
      <c r="E110" s="6" t="s">
        <v>45</v>
      </c>
      <c r="F110" s="6" t="s">
        <v>45</v>
      </c>
      <c r="G110" s="6" t="s">
        <v>45</v>
      </c>
      <c r="H110" s="6" t="s">
        <v>45</v>
      </c>
      <c r="I110" s="6" t="s">
        <v>45</v>
      </c>
      <c r="J110" s="6" t="s">
        <v>45</v>
      </c>
      <c r="K110" s="6" t="s">
        <v>45</v>
      </c>
      <c r="L110" s="288" t="s">
        <v>45</v>
      </c>
      <c r="M110" s="288" t="s">
        <v>45</v>
      </c>
      <c r="N110" s="288" t="s">
        <v>45</v>
      </c>
      <c r="O110" s="53">
        <f t="shared" si="1"/>
        <v>0</v>
      </c>
    </row>
    <row r="111" spans="1:15">
      <c r="A111" s="7"/>
      <c r="B111" s="6" t="s">
        <v>34</v>
      </c>
      <c r="C111" s="7">
        <v>100.3</v>
      </c>
      <c r="D111" s="7">
        <v>94.5</v>
      </c>
      <c r="E111" s="7">
        <v>97.7</v>
      </c>
      <c r="F111" s="7">
        <v>48.1</v>
      </c>
      <c r="G111" s="7">
        <v>42.9</v>
      </c>
      <c r="H111" s="6">
        <v>20.7</v>
      </c>
      <c r="I111" s="6">
        <v>0.1</v>
      </c>
      <c r="J111" s="6">
        <v>0</v>
      </c>
      <c r="K111" s="6">
        <v>0</v>
      </c>
      <c r="L111" s="288">
        <v>20.399999999999999</v>
      </c>
      <c r="M111" s="288">
        <v>95.3</v>
      </c>
      <c r="N111" s="288">
        <v>91.1</v>
      </c>
      <c r="O111" s="53">
        <f t="shared" si="1"/>
        <v>611.1</v>
      </c>
    </row>
    <row r="112" spans="1:15">
      <c r="A112" s="7"/>
      <c r="B112" s="6" t="s">
        <v>35</v>
      </c>
      <c r="C112" s="6" t="s">
        <v>45</v>
      </c>
      <c r="D112" s="6" t="s">
        <v>45</v>
      </c>
      <c r="E112" s="6" t="s">
        <v>45</v>
      </c>
      <c r="F112" s="6" t="s">
        <v>45</v>
      </c>
      <c r="G112" s="6" t="s">
        <v>45</v>
      </c>
      <c r="H112" s="6" t="s">
        <v>45</v>
      </c>
      <c r="I112" s="6" t="s">
        <v>45</v>
      </c>
      <c r="J112" s="6" t="s">
        <v>45</v>
      </c>
      <c r="K112" s="6" t="s">
        <v>45</v>
      </c>
      <c r="L112" s="288" t="s">
        <v>45</v>
      </c>
      <c r="M112" s="288" t="s">
        <v>45</v>
      </c>
      <c r="N112" s="288" t="s">
        <v>45</v>
      </c>
      <c r="O112" s="53">
        <f t="shared" si="1"/>
        <v>0</v>
      </c>
    </row>
    <row r="113" spans="1:15">
      <c r="A113" s="7"/>
      <c r="B113" s="6" t="s">
        <v>36</v>
      </c>
      <c r="C113" s="7">
        <v>176.10480000000001</v>
      </c>
      <c r="D113" s="7">
        <v>200.9915</v>
      </c>
      <c r="E113" s="7">
        <v>173.7774</v>
      </c>
      <c r="F113" s="7">
        <v>73.962299999999999</v>
      </c>
      <c r="G113" s="7">
        <v>66.864599999999996</v>
      </c>
      <c r="H113" s="7">
        <v>30.226600000000001</v>
      </c>
      <c r="I113" s="7">
        <v>12.2707</v>
      </c>
      <c r="J113" s="7">
        <v>12.9674</v>
      </c>
      <c r="K113" s="7">
        <v>10.8558</v>
      </c>
      <c r="L113" s="288">
        <v>48.6297</v>
      </c>
      <c r="M113" s="288">
        <v>135.28479999999999</v>
      </c>
      <c r="N113" s="288">
        <v>147.56879999999998</v>
      </c>
      <c r="O113" s="53">
        <f t="shared" si="1"/>
        <v>1089.5044</v>
      </c>
    </row>
    <row r="114" spans="1:15">
      <c r="A114" s="7"/>
      <c r="B114" s="6" t="s">
        <v>37</v>
      </c>
      <c r="C114" s="6" t="s">
        <v>45</v>
      </c>
      <c r="D114" s="6" t="s">
        <v>45</v>
      </c>
      <c r="E114" s="6" t="s">
        <v>45</v>
      </c>
      <c r="F114" s="6" t="s">
        <v>45</v>
      </c>
      <c r="G114" s="6" t="s">
        <v>45</v>
      </c>
      <c r="H114" s="6" t="s">
        <v>45</v>
      </c>
      <c r="I114" s="6" t="s">
        <v>45</v>
      </c>
      <c r="J114" s="6" t="s">
        <v>45</v>
      </c>
      <c r="K114" s="6" t="s">
        <v>45</v>
      </c>
      <c r="L114" s="288" t="s">
        <v>45</v>
      </c>
      <c r="M114" s="288" t="s">
        <v>45</v>
      </c>
      <c r="N114" s="288" t="s">
        <v>45</v>
      </c>
      <c r="O114" s="53">
        <f t="shared" si="1"/>
        <v>0</v>
      </c>
    </row>
    <row r="115" spans="1:15">
      <c r="A115" s="7"/>
      <c r="B115" s="6" t="s">
        <v>38</v>
      </c>
      <c r="C115" s="7">
        <v>65.8</v>
      </c>
      <c r="D115" s="7">
        <v>77</v>
      </c>
      <c r="E115" s="7">
        <v>65.599999999999994</v>
      </c>
      <c r="F115" s="7">
        <v>38.6</v>
      </c>
      <c r="G115" s="7">
        <v>28.2</v>
      </c>
      <c r="H115" s="7">
        <v>23.8</v>
      </c>
      <c r="I115" s="6" t="s">
        <v>45</v>
      </c>
      <c r="J115" s="7">
        <v>1</v>
      </c>
      <c r="K115" s="7">
        <v>2.6</v>
      </c>
      <c r="L115" s="288" t="s">
        <v>45</v>
      </c>
      <c r="M115" s="288">
        <v>56.6</v>
      </c>
      <c r="N115" s="288">
        <v>68.3</v>
      </c>
      <c r="O115" s="53">
        <f t="shared" si="1"/>
        <v>427.50000000000006</v>
      </c>
    </row>
    <row r="116" spans="1:15">
      <c r="A116" s="7"/>
      <c r="B116" s="6" t="s">
        <v>39</v>
      </c>
      <c r="C116" s="7">
        <v>72.7</v>
      </c>
      <c r="D116" s="7">
        <v>69</v>
      </c>
      <c r="E116" s="7">
        <v>53.1</v>
      </c>
      <c r="F116" s="7">
        <v>15.4</v>
      </c>
      <c r="G116" s="7">
        <v>5.8</v>
      </c>
      <c r="H116" s="7">
        <v>5.7</v>
      </c>
      <c r="I116" s="6" t="s">
        <v>45</v>
      </c>
      <c r="J116" s="7">
        <v>11.8</v>
      </c>
      <c r="K116" s="7">
        <v>4.9000000000000004</v>
      </c>
      <c r="L116" s="288">
        <v>17.600000000000001</v>
      </c>
      <c r="M116" s="288">
        <v>28.5</v>
      </c>
      <c r="N116" s="288">
        <v>82.4</v>
      </c>
      <c r="O116" s="53">
        <f t="shared" si="1"/>
        <v>366.9</v>
      </c>
    </row>
    <row r="117" spans="1:15">
      <c r="A117" s="7"/>
      <c r="B117" s="6" t="s">
        <v>40</v>
      </c>
      <c r="C117" s="6" t="s">
        <v>45</v>
      </c>
      <c r="D117" s="6" t="s">
        <v>45</v>
      </c>
      <c r="E117" s="6" t="s">
        <v>45</v>
      </c>
      <c r="F117" s="6" t="s">
        <v>45</v>
      </c>
      <c r="G117" s="6" t="s">
        <v>45</v>
      </c>
      <c r="H117" s="6" t="s">
        <v>45</v>
      </c>
      <c r="I117" s="6" t="s">
        <v>45</v>
      </c>
      <c r="J117" s="6" t="s">
        <v>45</v>
      </c>
      <c r="K117" s="6" t="s">
        <v>45</v>
      </c>
      <c r="L117" s="288" t="s">
        <v>45</v>
      </c>
      <c r="M117" s="288" t="s">
        <v>45</v>
      </c>
      <c r="N117" s="288" t="s">
        <v>45</v>
      </c>
      <c r="O117" s="53">
        <f t="shared" si="1"/>
        <v>0</v>
      </c>
    </row>
    <row r="118" spans="1:15">
      <c r="A118" s="7"/>
      <c r="B118" s="6" t="s">
        <v>41</v>
      </c>
      <c r="C118" s="7">
        <v>230.9</v>
      </c>
      <c r="D118" s="7">
        <v>256.3</v>
      </c>
      <c r="E118" s="7">
        <v>208.3</v>
      </c>
      <c r="F118" s="7">
        <v>75.900000000000006</v>
      </c>
      <c r="G118" s="7">
        <v>57.9</v>
      </c>
      <c r="H118" s="7">
        <v>28.8</v>
      </c>
      <c r="I118" s="7">
        <v>23.5</v>
      </c>
      <c r="J118" s="7">
        <v>23.9</v>
      </c>
      <c r="K118" s="7">
        <v>28.1</v>
      </c>
      <c r="L118" s="288">
        <v>136.48840000000001</v>
      </c>
      <c r="M118" s="288">
        <v>609.04420000000005</v>
      </c>
      <c r="N118" s="288">
        <v>821.16780000000006</v>
      </c>
      <c r="O118" s="53">
        <f t="shared" si="1"/>
        <v>2500.3004000000001</v>
      </c>
    </row>
    <row r="119" spans="1:15" s="287" customFormat="1">
      <c r="A119" s="8"/>
      <c r="B119" s="9" t="s">
        <v>42</v>
      </c>
      <c r="C119" s="8">
        <v>1523.5486000000001</v>
      </c>
      <c r="D119" s="8">
        <v>1508.8397</v>
      </c>
      <c r="E119" s="8">
        <v>1642.4613999999999</v>
      </c>
      <c r="F119" s="8">
        <v>1195.8599999999999</v>
      </c>
      <c r="G119" s="8">
        <v>570.23879999999986</v>
      </c>
      <c r="H119" s="8">
        <v>326.90820000000002</v>
      </c>
      <c r="I119" s="8">
        <v>134.15430000000001</v>
      </c>
      <c r="J119" s="8">
        <v>374.62689999999998</v>
      </c>
      <c r="K119" s="8">
        <v>670.41660000000002</v>
      </c>
      <c r="L119" s="9">
        <v>476.16139999999996</v>
      </c>
      <c r="M119" s="9">
        <v>2207.6121000000003</v>
      </c>
      <c r="N119" s="9">
        <v>2110.3324000000002</v>
      </c>
      <c r="O119" s="53">
        <f t="shared" si="1"/>
        <v>12741.160400000001</v>
      </c>
    </row>
    <row r="120" spans="1:15">
      <c r="A120" s="7"/>
      <c r="B120" s="6"/>
      <c r="C120" s="7"/>
      <c r="D120" s="7"/>
      <c r="E120" s="7"/>
      <c r="F120" s="7"/>
      <c r="G120" s="7"/>
      <c r="H120" s="7"/>
      <c r="I120" s="7"/>
      <c r="J120" s="7"/>
      <c r="K120" s="7"/>
      <c r="L120" s="288"/>
      <c r="M120" s="288"/>
      <c r="N120" s="288"/>
      <c r="O120" s="53"/>
    </row>
    <row r="121" spans="1:15">
      <c r="A121" s="6" t="s">
        <v>49</v>
      </c>
      <c r="B121" s="6" t="s">
        <v>26</v>
      </c>
      <c r="C121" s="7">
        <v>86024.239599999986</v>
      </c>
      <c r="D121" s="7">
        <v>78222.367200000008</v>
      </c>
      <c r="E121" s="7">
        <v>75947.640500000009</v>
      </c>
      <c r="F121" s="7">
        <v>48807.45229999999</v>
      </c>
      <c r="G121" s="7">
        <v>33142.7451</v>
      </c>
      <c r="H121" s="7">
        <v>32139.838799999998</v>
      </c>
      <c r="I121" s="7">
        <v>28716.9833</v>
      </c>
      <c r="J121" s="7">
        <v>23193.730199999998</v>
      </c>
      <c r="K121" s="7">
        <v>29761.583599999998</v>
      </c>
      <c r="L121" s="288">
        <v>35412.443399999996</v>
      </c>
      <c r="M121" s="288">
        <v>49636.484400000008</v>
      </c>
      <c r="N121" s="288">
        <v>60208.585700000011</v>
      </c>
      <c r="O121" s="53">
        <f t="shared" si="1"/>
        <v>581214.0941000001</v>
      </c>
    </row>
    <row r="122" spans="1:15">
      <c r="A122" s="7"/>
      <c r="B122" s="6" t="s">
        <v>27</v>
      </c>
      <c r="C122" s="7">
        <v>11487.0846</v>
      </c>
      <c r="D122" s="7">
        <v>30966.477299999999</v>
      </c>
      <c r="E122" s="7">
        <v>19212.068199999998</v>
      </c>
      <c r="F122" s="7">
        <v>8030.7698</v>
      </c>
      <c r="G122" s="7">
        <v>8782.080100000001</v>
      </c>
      <c r="H122" s="7">
        <v>5194.0027000000009</v>
      </c>
      <c r="I122" s="7">
        <v>3904.9784000000004</v>
      </c>
      <c r="J122" s="7">
        <v>4342.3769999999995</v>
      </c>
      <c r="K122" s="7">
        <v>5938.4405999999999</v>
      </c>
      <c r="L122" s="288">
        <v>10919.894199999999</v>
      </c>
      <c r="M122" s="288">
        <v>14891.535099999999</v>
      </c>
      <c r="N122" s="288">
        <v>14116.5283</v>
      </c>
      <c r="O122" s="53">
        <f t="shared" si="1"/>
        <v>137786.23629999999</v>
      </c>
    </row>
    <row r="123" spans="1:15">
      <c r="A123" s="7"/>
      <c r="B123" s="19" t="s">
        <v>28</v>
      </c>
      <c r="C123" s="20">
        <v>125061.35439999998</v>
      </c>
      <c r="D123" s="20">
        <v>115912.81809999999</v>
      </c>
      <c r="E123" s="20">
        <v>114568.1152</v>
      </c>
      <c r="F123" s="20">
        <v>76130.291500000007</v>
      </c>
      <c r="G123" s="20">
        <v>66538.569400000022</v>
      </c>
      <c r="H123" s="20">
        <v>79886.23109999999</v>
      </c>
      <c r="I123" s="20">
        <v>66251.626000000004</v>
      </c>
      <c r="J123" s="20">
        <v>79712.67779999999</v>
      </c>
      <c r="K123" s="20">
        <v>81196.670799999993</v>
      </c>
      <c r="L123" s="294">
        <v>93269.211199999991</v>
      </c>
      <c r="M123" s="294">
        <v>112828.14219999999</v>
      </c>
      <c r="N123" s="294">
        <v>126772.22660000001</v>
      </c>
      <c r="O123" s="54">
        <f t="shared" si="1"/>
        <v>1138127.9343000001</v>
      </c>
    </row>
    <row r="124" spans="1:15">
      <c r="A124" s="7"/>
      <c r="B124" s="6" t="s">
        <v>29</v>
      </c>
      <c r="C124" s="7">
        <v>113848.1741</v>
      </c>
      <c r="D124" s="7">
        <v>132571.93039999998</v>
      </c>
      <c r="E124" s="7">
        <v>102791.69840000001</v>
      </c>
      <c r="F124" s="7">
        <v>71682.0821</v>
      </c>
      <c r="G124" s="7">
        <v>87546.366199999989</v>
      </c>
      <c r="H124" s="7">
        <v>51252.177600000003</v>
      </c>
      <c r="I124" s="7">
        <v>46201.463499999998</v>
      </c>
      <c r="J124" s="7">
        <v>43401.461799999997</v>
      </c>
      <c r="K124" s="7">
        <v>49421.044400000006</v>
      </c>
      <c r="L124" s="288">
        <v>63715.064599999998</v>
      </c>
      <c r="M124" s="288">
        <v>95946.763500000001</v>
      </c>
      <c r="N124" s="288">
        <v>110096.94680000001</v>
      </c>
      <c r="O124" s="53">
        <f t="shared" si="1"/>
        <v>968475.17340000009</v>
      </c>
    </row>
    <row r="125" spans="1:15">
      <c r="A125" s="7"/>
      <c r="B125" s="6" t="s">
        <v>30</v>
      </c>
      <c r="C125" s="7">
        <v>13376.796400000001</v>
      </c>
      <c r="D125" s="7">
        <v>11543.751899999999</v>
      </c>
      <c r="E125" s="7">
        <v>11890.358999999999</v>
      </c>
      <c r="F125" s="7">
        <v>6667.8205999999991</v>
      </c>
      <c r="G125" s="7">
        <v>3404.9904999999999</v>
      </c>
      <c r="H125" s="7">
        <v>4414.8046000000004</v>
      </c>
      <c r="I125" s="7">
        <v>2434.5060000000003</v>
      </c>
      <c r="J125" s="7">
        <v>2597.8801000000003</v>
      </c>
      <c r="K125" s="7">
        <v>1857.4564</v>
      </c>
      <c r="L125" s="288">
        <v>3049.1075999999998</v>
      </c>
      <c r="M125" s="288">
        <v>6097.9844999999996</v>
      </c>
      <c r="N125" s="288">
        <v>7792.1652000000004</v>
      </c>
      <c r="O125" s="53">
        <f t="shared" si="1"/>
        <v>75127.622800000012</v>
      </c>
    </row>
    <row r="126" spans="1:15">
      <c r="A126" s="7"/>
      <c r="B126" s="6" t="s">
        <v>31</v>
      </c>
      <c r="C126" s="7">
        <v>131616.71720000001</v>
      </c>
      <c r="D126" s="7">
        <v>95272.561900000001</v>
      </c>
      <c r="E126" s="7">
        <v>104665.91899999999</v>
      </c>
      <c r="F126" s="7">
        <v>85654.924800000008</v>
      </c>
      <c r="G126" s="7">
        <v>64659.713400000001</v>
      </c>
      <c r="H126" s="7">
        <v>62155.474800000004</v>
      </c>
      <c r="I126" s="7">
        <v>52846.410300000003</v>
      </c>
      <c r="J126" s="7">
        <v>62093.193800000001</v>
      </c>
      <c r="K126" s="7">
        <v>63488.515699999996</v>
      </c>
      <c r="L126" s="288">
        <v>56809.486799999999</v>
      </c>
      <c r="M126" s="288">
        <v>75250.037500000006</v>
      </c>
      <c r="N126" s="288">
        <v>95819.345700000005</v>
      </c>
      <c r="O126" s="53">
        <f t="shared" si="1"/>
        <v>950332.30089999991</v>
      </c>
    </row>
    <row r="127" spans="1:15">
      <c r="A127" s="7"/>
      <c r="B127" s="6" t="s">
        <v>32</v>
      </c>
      <c r="C127" s="7">
        <v>79701.27840000001</v>
      </c>
      <c r="D127" s="7">
        <v>100106.95580000001</v>
      </c>
      <c r="E127" s="7">
        <v>90258.450799999991</v>
      </c>
      <c r="F127" s="7">
        <v>59382.441599999998</v>
      </c>
      <c r="G127" s="7">
        <v>40621.228100000008</v>
      </c>
      <c r="H127" s="7">
        <v>36006.743699999999</v>
      </c>
      <c r="I127" s="7">
        <v>22632.9028</v>
      </c>
      <c r="J127" s="7">
        <v>12024.123600000001</v>
      </c>
      <c r="K127" s="7">
        <v>39327.733999999997</v>
      </c>
      <c r="L127" s="288">
        <v>24914.918000000001</v>
      </c>
      <c r="M127" s="288">
        <v>123927.6286</v>
      </c>
      <c r="N127" s="288">
        <v>83194.9136</v>
      </c>
      <c r="O127" s="53">
        <f t="shared" si="1"/>
        <v>712099.31900000002</v>
      </c>
    </row>
    <row r="128" spans="1:15">
      <c r="A128" s="7"/>
      <c r="B128" s="6" t="s">
        <v>33</v>
      </c>
      <c r="C128" s="7">
        <v>2291.7546000000002</v>
      </c>
      <c r="D128" s="7">
        <v>2372.9097999999999</v>
      </c>
      <c r="E128" s="7">
        <v>2311.2530000000002</v>
      </c>
      <c r="F128" s="7">
        <v>1192.9706000000001</v>
      </c>
      <c r="G128" s="7">
        <v>1122.8181</v>
      </c>
      <c r="H128" s="7">
        <v>722.50699999999995</v>
      </c>
      <c r="I128" s="7">
        <v>441.35140000000001</v>
      </c>
      <c r="J128" s="7">
        <v>523.95820000000003</v>
      </c>
      <c r="K128" s="7">
        <v>846.40560000000005</v>
      </c>
      <c r="L128" s="288">
        <v>1381.9380999999998</v>
      </c>
      <c r="M128" s="288">
        <v>1726.4811</v>
      </c>
      <c r="N128" s="288">
        <v>1979.4848000000002</v>
      </c>
      <c r="O128" s="53">
        <f t="shared" si="1"/>
        <v>16913.832300000002</v>
      </c>
    </row>
    <row r="129" spans="1:15">
      <c r="A129" s="7"/>
      <c r="B129" s="6" t="s">
        <v>34</v>
      </c>
      <c r="C129" s="7">
        <v>17825.7853</v>
      </c>
      <c r="D129" s="7">
        <v>15557.7552</v>
      </c>
      <c r="E129" s="7">
        <v>13748.187600000001</v>
      </c>
      <c r="F129" s="7">
        <v>7403.7874000000011</v>
      </c>
      <c r="G129" s="7">
        <v>5875.7384999999995</v>
      </c>
      <c r="H129" s="7">
        <v>4701.0910999999996</v>
      </c>
      <c r="I129" s="7">
        <v>3231.8952999999997</v>
      </c>
      <c r="J129" s="7">
        <v>3785.8791000000001</v>
      </c>
      <c r="K129" s="7">
        <v>4305.3671999999997</v>
      </c>
      <c r="L129" s="288">
        <v>6946.4608999999991</v>
      </c>
      <c r="M129" s="288">
        <v>10657.0659</v>
      </c>
      <c r="N129" s="288">
        <v>14329.1715</v>
      </c>
      <c r="O129" s="53">
        <f t="shared" si="1"/>
        <v>108368.18500000001</v>
      </c>
    </row>
    <row r="130" spans="1:15">
      <c r="A130" s="7"/>
      <c r="B130" s="6" t="s">
        <v>35</v>
      </c>
      <c r="C130" s="7">
        <v>5948.8015999999998</v>
      </c>
      <c r="D130" s="7">
        <v>6366.6132000000007</v>
      </c>
      <c r="E130" s="7">
        <v>5064.3064999999997</v>
      </c>
      <c r="F130" s="7">
        <v>1449.9769000000001</v>
      </c>
      <c r="G130" s="7">
        <v>1031.1985000000002</v>
      </c>
      <c r="H130" s="7">
        <v>802.66560000000004</v>
      </c>
      <c r="I130" s="7">
        <v>699.97160000000008</v>
      </c>
      <c r="J130" s="7">
        <v>698.42149999999992</v>
      </c>
      <c r="K130" s="7">
        <v>956.14240000000007</v>
      </c>
      <c r="L130" s="288">
        <v>2137.0839000000001</v>
      </c>
      <c r="M130" s="288">
        <v>3668.4671000000003</v>
      </c>
      <c r="N130" s="288">
        <v>5129.9591999999993</v>
      </c>
      <c r="O130" s="53">
        <f t="shared" si="1"/>
        <v>33953.608000000007</v>
      </c>
    </row>
    <row r="131" spans="1:15">
      <c r="A131" s="7"/>
      <c r="B131" s="6" t="s">
        <v>36</v>
      </c>
      <c r="C131" s="7">
        <v>52966.151200000008</v>
      </c>
      <c r="D131" s="7">
        <v>86918.196500000005</v>
      </c>
      <c r="E131" s="7">
        <v>64010.35</v>
      </c>
      <c r="F131" s="7">
        <v>45821.352200000001</v>
      </c>
      <c r="G131" s="7">
        <v>41131.705199999997</v>
      </c>
      <c r="H131" s="7">
        <v>39774.488499999992</v>
      </c>
      <c r="I131" s="7">
        <v>33554.140600000006</v>
      </c>
      <c r="J131" s="7">
        <v>33867.267300000007</v>
      </c>
      <c r="K131" s="7">
        <v>30730.914100000002</v>
      </c>
      <c r="L131" s="288">
        <v>38821.544300000001</v>
      </c>
      <c r="M131" s="288">
        <v>53410.772900000004</v>
      </c>
      <c r="N131" s="288">
        <v>68894.527099999992</v>
      </c>
      <c r="O131" s="53">
        <f t="shared" si="1"/>
        <v>589901.40989999997</v>
      </c>
    </row>
    <row r="132" spans="1:15">
      <c r="A132" s="7"/>
      <c r="B132" s="6" t="s">
        <v>37</v>
      </c>
      <c r="C132" s="7">
        <v>3252.6</v>
      </c>
      <c r="D132" s="7">
        <v>3184.6</v>
      </c>
      <c r="E132" s="7">
        <v>2812.8</v>
      </c>
      <c r="F132" s="7">
        <v>1042.0999999999999</v>
      </c>
      <c r="G132" s="7">
        <v>893.1</v>
      </c>
      <c r="H132" s="7">
        <v>402.9</v>
      </c>
      <c r="I132" s="7">
        <v>550.20000000000005</v>
      </c>
      <c r="J132" s="7">
        <v>558.4</v>
      </c>
      <c r="K132" s="7">
        <v>493.9</v>
      </c>
      <c r="L132" s="288">
        <v>1291.8</v>
      </c>
      <c r="M132" s="288">
        <v>2075.4</v>
      </c>
      <c r="N132" s="288">
        <v>2617.6</v>
      </c>
      <c r="O132" s="53">
        <f t="shared" si="1"/>
        <v>19175.399999999998</v>
      </c>
    </row>
    <row r="133" spans="1:15">
      <c r="A133" s="7"/>
      <c r="B133" s="6" t="s">
        <v>38</v>
      </c>
      <c r="C133" s="7">
        <v>26547.625199999999</v>
      </c>
      <c r="D133" s="7">
        <v>56132.0461</v>
      </c>
      <c r="E133" s="7">
        <v>45566.743399999992</v>
      </c>
      <c r="F133" s="7">
        <v>31149.733</v>
      </c>
      <c r="G133" s="7">
        <v>38648.349199999997</v>
      </c>
      <c r="H133" s="7">
        <v>35155.457500000004</v>
      </c>
      <c r="I133" s="7">
        <v>34963.415300000001</v>
      </c>
      <c r="J133" s="7">
        <v>20983.869200000001</v>
      </c>
      <c r="K133" s="7">
        <v>45058.538399999998</v>
      </c>
      <c r="L133" s="288">
        <v>38544.830399999999</v>
      </c>
      <c r="M133" s="288">
        <v>57161.894099999998</v>
      </c>
      <c r="N133" s="288">
        <v>68246.908100000001</v>
      </c>
      <c r="O133" s="53">
        <f t="shared" si="1"/>
        <v>498159.40989999997</v>
      </c>
    </row>
    <row r="134" spans="1:15">
      <c r="A134" s="7"/>
      <c r="B134" s="6" t="s">
        <v>39</v>
      </c>
      <c r="C134" s="7">
        <v>90348.453499999989</v>
      </c>
      <c r="D134" s="7">
        <v>89029.154500000004</v>
      </c>
      <c r="E134" s="7">
        <v>86974.563000000009</v>
      </c>
      <c r="F134" s="7">
        <v>61943.265500000001</v>
      </c>
      <c r="G134" s="7">
        <v>34208.667300000001</v>
      </c>
      <c r="H134" s="7">
        <v>47602.243199999983</v>
      </c>
      <c r="I134" s="7">
        <v>20564.240399999999</v>
      </c>
      <c r="J134" s="7">
        <v>41335.004399999998</v>
      </c>
      <c r="K134" s="7">
        <v>36579.358300000007</v>
      </c>
      <c r="L134" s="288">
        <v>44266.894799999995</v>
      </c>
      <c r="M134" s="288">
        <v>67098.733799999987</v>
      </c>
      <c r="N134" s="288">
        <v>81300.433699999994</v>
      </c>
      <c r="O134" s="53">
        <f t="shared" si="1"/>
        <v>701251.01239999989</v>
      </c>
    </row>
    <row r="135" spans="1:15">
      <c r="A135" s="7"/>
      <c r="B135" s="6" t="s">
        <v>40</v>
      </c>
      <c r="C135" s="7">
        <v>10623.158800000001</v>
      </c>
      <c r="D135" s="7">
        <v>20213.643499999998</v>
      </c>
      <c r="E135" s="7">
        <v>9948.4877000000015</v>
      </c>
      <c r="F135" s="7">
        <v>5192.4627999999993</v>
      </c>
      <c r="G135" s="7">
        <v>1724.0112999999999</v>
      </c>
      <c r="H135" s="7">
        <v>1552.4079999999999</v>
      </c>
      <c r="I135" s="7">
        <v>1877.0279</v>
      </c>
      <c r="J135" s="7">
        <v>1283.5232000000001</v>
      </c>
      <c r="K135" s="7">
        <v>1297.8880999999999</v>
      </c>
      <c r="L135" s="288">
        <v>2468.0236999999997</v>
      </c>
      <c r="M135" s="288">
        <v>5052.78</v>
      </c>
      <c r="N135" s="288">
        <v>8072.2839999999997</v>
      </c>
      <c r="O135" s="53">
        <f t="shared" si="1"/>
        <v>69305.698999999993</v>
      </c>
    </row>
    <row r="136" spans="1:15">
      <c r="A136" s="7"/>
      <c r="B136" s="6" t="s">
        <v>41</v>
      </c>
      <c r="C136" s="7">
        <v>74328.420499999993</v>
      </c>
      <c r="D136" s="7">
        <v>71883.127800000002</v>
      </c>
      <c r="E136" s="7">
        <v>65694.288600000014</v>
      </c>
      <c r="F136" s="7">
        <v>40700.761100000003</v>
      </c>
      <c r="G136" s="7">
        <v>31455.7372</v>
      </c>
      <c r="H136" s="7">
        <v>27371.847000000002</v>
      </c>
      <c r="I136" s="7">
        <v>19204.4604</v>
      </c>
      <c r="J136" s="7">
        <v>30858.090199999999</v>
      </c>
      <c r="K136" s="7">
        <v>31942.372100000001</v>
      </c>
      <c r="L136" s="288">
        <v>31156.164599999996</v>
      </c>
      <c r="M136" s="288">
        <v>63336.914400000001</v>
      </c>
      <c r="N136" s="288">
        <v>77146.979599999991</v>
      </c>
      <c r="O136" s="53">
        <f t="shared" si="1"/>
        <v>565079.16349999991</v>
      </c>
    </row>
    <row r="137" spans="1:15" s="287" customFormat="1">
      <c r="A137" s="8"/>
      <c r="B137" s="9" t="s">
        <v>42</v>
      </c>
      <c r="C137" s="8">
        <v>845248.39539999992</v>
      </c>
      <c r="D137" s="8">
        <v>916254.90919999999</v>
      </c>
      <c r="E137" s="8">
        <v>815465.23089999997</v>
      </c>
      <c r="F137" s="8">
        <v>552252.19219999993</v>
      </c>
      <c r="G137" s="8">
        <v>460787.01810000004</v>
      </c>
      <c r="H137" s="8">
        <v>429134.88120000006</v>
      </c>
      <c r="I137" s="8">
        <v>338075.57319999998</v>
      </c>
      <c r="J137" s="8">
        <v>361259.85739999998</v>
      </c>
      <c r="K137" s="8">
        <v>423202.33169999998</v>
      </c>
      <c r="L137" s="9">
        <v>455104.8665</v>
      </c>
      <c r="M137" s="9">
        <v>742767.08510000003</v>
      </c>
      <c r="N137" s="9">
        <v>825718.05990000011</v>
      </c>
      <c r="O137" s="53">
        <f t="shared" si="1"/>
        <v>7165270.400799999</v>
      </c>
    </row>
  </sheetData>
  <mergeCells count="1">
    <mergeCell ref="C10:N10"/>
  </mergeCells>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A1:H1"/>
  <sheetViews>
    <sheetView workbookViewId="0">
      <selection activeCell="H1" sqref="H1"/>
    </sheetView>
  </sheetViews>
  <sheetFormatPr defaultRowHeight="15"/>
  <cols>
    <col min="1" max="1" width="14.140625" bestFit="1" customWidth="1"/>
    <col min="2" max="2" width="14.140625" customWidth="1"/>
    <col min="3" max="7" width="14.140625" bestFit="1" customWidth="1"/>
    <col min="16" max="16" width="26.42578125" customWidth="1"/>
  </cols>
  <sheetData>
    <row r="1" spans="1:8">
      <c r="A1" s="518" t="s">
        <v>2253</v>
      </c>
      <c r="B1" s="899"/>
      <c r="C1" s="73"/>
      <c r="D1" s="73"/>
      <c r="E1" s="73"/>
      <c r="F1" s="73"/>
      <c r="G1" s="883"/>
      <c r="H1" s="707"/>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dimension ref="A1:Q2"/>
  <sheetViews>
    <sheetView workbookViewId="0">
      <selection activeCell="G1" sqref="G1"/>
    </sheetView>
  </sheetViews>
  <sheetFormatPr defaultRowHeight="15"/>
  <cols>
    <col min="1" max="7" width="14.140625" bestFit="1" customWidth="1"/>
  </cols>
  <sheetData>
    <row r="1" spans="1:17">
      <c r="A1" s="882" t="s">
        <v>52</v>
      </c>
      <c r="B1" s="901" t="s">
        <v>53</v>
      </c>
      <c r="C1" s="901"/>
      <c r="D1" s="901"/>
      <c r="E1" s="902"/>
      <c r="F1" s="12"/>
      <c r="G1" s="12"/>
    </row>
    <row r="2" spans="1:17">
      <c r="Q2" s="12"/>
    </row>
  </sheetData>
  <hyperlinks>
    <hyperlink ref="B1" r:id="rId1"/>
  </hyperlinks>
  <pageMargins left="0.7" right="0.7" top="0.75" bottom="0.75" header="0.3" footer="0.3"/>
  <drawing r:id="rId2"/>
</worksheet>
</file>

<file path=xl/worksheets/sheet24.xml><?xml version="1.0" encoding="utf-8"?>
<worksheet xmlns="http://schemas.openxmlformats.org/spreadsheetml/2006/main" xmlns:r="http://schemas.openxmlformats.org/officeDocument/2006/relationships">
  <dimension ref="A1:L218"/>
  <sheetViews>
    <sheetView topLeftCell="A10" workbookViewId="0">
      <selection activeCell="L23" sqref="L23"/>
    </sheetView>
  </sheetViews>
  <sheetFormatPr defaultRowHeight="15"/>
  <cols>
    <col min="1" max="7" width="14.140625" bestFit="1" customWidth="1"/>
  </cols>
  <sheetData>
    <row r="1" spans="1:9">
      <c r="A1" s="900" t="s">
        <v>2254</v>
      </c>
      <c r="B1" s="901"/>
      <c r="C1" s="902"/>
      <c r="D1" s="12"/>
      <c r="E1" s="12"/>
      <c r="F1" s="12"/>
      <c r="G1" s="12"/>
    </row>
    <row r="2" spans="1:9">
      <c r="A2" s="12"/>
      <c r="B2" s="12"/>
      <c r="C2" s="12"/>
      <c r="D2" s="12"/>
      <c r="E2" s="12"/>
      <c r="F2" s="12"/>
      <c r="G2" s="12"/>
    </row>
    <row r="3" spans="1:9" ht="15" customHeight="1">
      <c r="A3" s="1144" t="s">
        <v>547</v>
      </c>
      <c r="B3" s="1144"/>
      <c r="C3" s="1144"/>
      <c r="D3" s="1144"/>
      <c r="E3" s="17"/>
      <c r="F3" s="17"/>
      <c r="G3" s="17"/>
      <c r="H3" s="17"/>
      <c r="I3" s="17"/>
    </row>
    <row r="4" spans="1:9" ht="15" customHeight="1">
      <c r="A4" s="1144" t="s">
        <v>548</v>
      </c>
      <c r="B4" s="1144"/>
      <c r="C4" s="1144"/>
      <c r="D4" s="1144"/>
      <c r="E4" s="1144"/>
      <c r="F4" s="1144"/>
      <c r="G4" s="1144"/>
      <c r="H4" s="1144"/>
      <c r="I4" s="1144"/>
    </row>
    <row r="5" spans="1:9" ht="15" customHeight="1">
      <c r="A5" s="1144" t="s">
        <v>549</v>
      </c>
      <c r="B5" s="1144"/>
      <c r="C5" s="1144"/>
      <c r="D5" s="1144"/>
      <c r="E5" s="1144"/>
      <c r="F5" s="1144"/>
      <c r="G5" s="1144"/>
      <c r="H5" s="1144"/>
    </row>
    <row r="6" spans="1:9" ht="77.25" customHeight="1">
      <c r="A6" s="1144"/>
      <c r="B6" s="1144"/>
      <c r="C6" s="1144"/>
      <c r="D6" s="1144"/>
      <c r="E6" s="1144"/>
      <c r="F6" s="1144"/>
      <c r="G6" s="1144"/>
      <c r="H6" s="1144"/>
    </row>
    <row r="7" spans="1:9" ht="15" customHeight="1">
      <c r="A7" s="1144" t="s">
        <v>550</v>
      </c>
      <c r="B7" s="1144"/>
      <c r="C7" s="1144"/>
      <c r="D7" s="1144"/>
      <c r="E7" s="1144"/>
      <c r="F7" s="1144"/>
      <c r="G7" s="1144"/>
      <c r="H7" s="1144"/>
    </row>
    <row r="8" spans="1:9" ht="57" customHeight="1">
      <c r="A8" s="1146"/>
      <c r="B8" s="1146"/>
      <c r="C8" s="1146"/>
      <c r="D8" s="1146"/>
      <c r="E8" s="1146"/>
      <c r="F8" s="1146"/>
      <c r="G8" s="1146"/>
      <c r="H8" s="1146"/>
    </row>
    <row r="9" spans="1:9">
      <c r="A9" s="1142" t="s">
        <v>61</v>
      </c>
      <c r="B9" s="1142"/>
      <c r="C9" s="1142"/>
      <c r="D9" s="1143" t="s">
        <v>62</v>
      </c>
      <c r="E9" s="1143"/>
      <c r="F9" s="1143"/>
      <c r="G9" s="1143"/>
      <c r="H9" s="1143"/>
      <c r="I9" s="1143"/>
    </row>
    <row r="10" spans="1:9" ht="15" customHeight="1">
      <c r="A10" s="13"/>
      <c r="B10" s="14"/>
      <c r="C10" s="15"/>
      <c r="D10" s="1143" t="s">
        <v>63</v>
      </c>
      <c r="E10" s="1143"/>
      <c r="F10" s="1143"/>
      <c r="G10" s="16" t="s">
        <v>64</v>
      </c>
      <c r="H10" s="16" t="s">
        <v>65</v>
      </c>
      <c r="I10" s="16" t="s">
        <v>66</v>
      </c>
    </row>
    <row r="11" spans="1:9" ht="15" customHeight="1">
      <c r="A11" s="1143" t="s">
        <v>67</v>
      </c>
      <c r="B11" s="1143"/>
      <c r="C11" s="1143"/>
      <c r="D11" s="1143" t="s">
        <v>68</v>
      </c>
      <c r="E11" s="1143"/>
      <c r="F11" s="1143"/>
      <c r="G11" s="16" t="s">
        <v>68</v>
      </c>
      <c r="H11" s="16" t="s">
        <v>68</v>
      </c>
      <c r="I11" s="16" t="s">
        <v>68</v>
      </c>
    </row>
    <row r="12" spans="1:9">
      <c r="A12" s="1143" t="s">
        <v>69</v>
      </c>
      <c r="B12" s="1143"/>
      <c r="C12" s="1143"/>
      <c r="D12" s="1143" t="s">
        <v>70</v>
      </c>
      <c r="E12" s="1143"/>
      <c r="F12" s="1143"/>
      <c r="G12" s="16" t="s">
        <v>71</v>
      </c>
      <c r="H12" s="16" t="s">
        <v>70</v>
      </c>
      <c r="I12" s="16" t="s">
        <v>72</v>
      </c>
    </row>
    <row r="13" spans="1:9" ht="15" customHeight="1">
      <c r="A13" s="1143" t="s">
        <v>73</v>
      </c>
      <c r="B13" s="1143"/>
      <c r="C13" s="1143"/>
      <c r="D13" s="1143" t="s">
        <v>74</v>
      </c>
      <c r="E13" s="1143"/>
      <c r="F13" s="1143"/>
      <c r="G13" s="16" t="s">
        <v>75</v>
      </c>
      <c r="H13" s="16" t="s">
        <v>76</v>
      </c>
      <c r="I13" s="16" t="s">
        <v>77</v>
      </c>
    </row>
    <row r="14" spans="1:9" ht="15" customHeight="1">
      <c r="A14" s="1143" t="s">
        <v>78</v>
      </c>
      <c r="B14" s="1143"/>
      <c r="C14" s="1143"/>
      <c r="D14" s="1143" t="s">
        <v>79</v>
      </c>
      <c r="E14" s="1143"/>
      <c r="F14" s="1143"/>
      <c r="G14" s="16" t="s">
        <v>80</v>
      </c>
      <c r="H14" s="16" t="s">
        <v>81</v>
      </c>
      <c r="I14" s="16" t="s">
        <v>77</v>
      </c>
    </row>
    <row r="15" spans="1:9" ht="15" customHeight="1">
      <c r="A15" s="1143" t="s">
        <v>68</v>
      </c>
      <c r="B15" s="1143"/>
      <c r="C15" s="1143"/>
      <c r="D15" s="1143" t="s">
        <v>68</v>
      </c>
      <c r="E15" s="1143"/>
      <c r="F15" s="1143"/>
      <c r="G15" s="16" t="s">
        <v>68</v>
      </c>
      <c r="H15" s="16" t="s">
        <v>68</v>
      </c>
      <c r="I15" s="16" t="s">
        <v>68</v>
      </c>
    </row>
    <row r="16" spans="1:9" ht="15" customHeight="1">
      <c r="A16" s="1143" t="s">
        <v>82</v>
      </c>
      <c r="B16" s="1143"/>
      <c r="C16" s="1143"/>
      <c r="D16" s="1143" t="s">
        <v>83</v>
      </c>
      <c r="E16" s="1143"/>
      <c r="F16" s="1143"/>
      <c r="G16" s="16" t="s">
        <v>84</v>
      </c>
      <c r="H16" s="16" t="s">
        <v>72</v>
      </c>
      <c r="I16" s="16" t="s">
        <v>72</v>
      </c>
    </row>
    <row r="17" spans="1:12">
      <c r="A17" s="1143" t="s">
        <v>85</v>
      </c>
      <c r="B17" s="1143"/>
      <c r="C17" s="1143"/>
      <c r="D17" s="1143" t="s">
        <v>86</v>
      </c>
      <c r="E17" s="1143"/>
      <c r="F17" s="1143"/>
      <c r="G17" s="16" t="s">
        <v>87</v>
      </c>
      <c r="H17" s="16" t="s">
        <v>72</v>
      </c>
      <c r="I17" s="16" t="s">
        <v>72</v>
      </c>
    </row>
    <row r="18" spans="1:12" ht="15" customHeight="1">
      <c r="A18" s="1143" t="s">
        <v>68</v>
      </c>
      <c r="B18" s="1143"/>
      <c r="C18" s="1143"/>
      <c r="D18" s="1143" t="s">
        <v>68</v>
      </c>
      <c r="E18" s="1143"/>
      <c r="F18" s="1143"/>
      <c r="G18" s="16" t="s">
        <v>68</v>
      </c>
      <c r="H18" s="16" t="s">
        <v>68</v>
      </c>
      <c r="I18" s="16" t="s">
        <v>68</v>
      </c>
    </row>
    <row r="19" spans="1:12" ht="15" customHeight="1">
      <c r="A19" s="1143" t="s">
        <v>88</v>
      </c>
      <c r="B19" s="1143"/>
      <c r="C19" s="1143"/>
      <c r="D19" s="1143" t="s">
        <v>68</v>
      </c>
      <c r="E19" s="1143"/>
      <c r="F19" s="1143"/>
      <c r="G19" s="16" t="s">
        <v>68</v>
      </c>
      <c r="H19" s="16" t="s">
        <v>68</v>
      </c>
      <c r="I19" s="16" t="s">
        <v>68</v>
      </c>
    </row>
    <row r="20" spans="1:12" ht="15" customHeight="1">
      <c r="A20" s="1143" t="s">
        <v>69</v>
      </c>
      <c r="B20" s="1143"/>
      <c r="C20" s="1143"/>
      <c r="D20" s="1143" t="s">
        <v>70</v>
      </c>
      <c r="E20" s="1143"/>
      <c r="F20" s="1143"/>
      <c r="G20" s="16" t="s">
        <v>71</v>
      </c>
      <c r="H20" s="16" t="s">
        <v>70</v>
      </c>
      <c r="I20" s="16" t="s">
        <v>72</v>
      </c>
    </row>
    <row r="21" spans="1:12" ht="15" customHeight="1">
      <c r="A21" s="1143" t="s">
        <v>89</v>
      </c>
      <c r="B21" s="1143"/>
      <c r="C21" s="1143"/>
      <c r="D21" s="1143" t="s">
        <v>90</v>
      </c>
      <c r="E21" s="1143"/>
      <c r="F21" s="1143"/>
      <c r="G21" s="16" t="s">
        <v>91</v>
      </c>
      <c r="H21" s="16" t="s">
        <v>92</v>
      </c>
      <c r="I21" s="16" t="s">
        <v>93</v>
      </c>
      <c r="L21">
        <f>SUM(D24:F27)</f>
        <v>7782</v>
      </c>
    </row>
    <row r="22" spans="1:12" ht="15" customHeight="1">
      <c r="A22" s="1143" t="s">
        <v>94</v>
      </c>
      <c r="B22" s="1143"/>
      <c r="C22" s="1143"/>
      <c r="D22" s="1143" t="s">
        <v>95</v>
      </c>
      <c r="E22" s="1143"/>
      <c r="F22" s="1143"/>
      <c r="G22" s="16" t="s">
        <v>96</v>
      </c>
      <c r="H22" s="16" t="s">
        <v>97</v>
      </c>
      <c r="I22" s="16" t="s">
        <v>93</v>
      </c>
    </row>
    <row r="23" spans="1:12" ht="15" customHeight="1">
      <c r="A23" s="1143" t="s">
        <v>98</v>
      </c>
      <c r="B23" s="1143"/>
      <c r="C23" s="1143"/>
      <c r="D23" s="1143" t="s">
        <v>99</v>
      </c>
      <c r="E23" s="1143"/>
      <c r="F23" s="1143"/>
      <c r="G23" s="16" t="s">
        <v>100</v>
      </c>
      <c r="H23" s="16" t="s">
        <v>101</v>
      </c>
      <c r="I23" s="16" t="s">
        <v>87</v>
      </c>
    </row>
    <row r="24" spans="1:12">
      <c r="A24" s="1143" t="s">
        <v>102</v>
      </c>
      <c r="B24" s="1143"/>
      <c r="C24" s="1143"/>
      <c r="D24" s="983">
        <v>621</v>
      </c>
      <c r="E24" s="981"/>
      <c r="F24" s="982"/>
      <c r="G24" s="16" t="s">
        <v>103</v>
      </c>
      <c r="H24" s="16" t="s">
        <v>104</v>
      </c>
      <c r="I24" s="16" t="s">
        <v>105</v>
      </c>
    </row>
    <row r="25" spans="1:12" ht="15" customHeight="1">
      <c r="A25" s="1143" t="s">
        <v>106</v>
      </c>
      <c r="B25" s="1143"/>
      <c r="C25" s="1143"/>
      <c r="D25" s="984">
        <v>1724</v>
      </c>
      <c r="E25" s="981"/>
      <c r="F25" s="982"/>
      <c r="G25" s="16" t="s">
        <v>107</v>
      </c>
      <c r="H25" s="16" t="s">
        <v>108</v>
      </c>
      <c r="I25" s="16" t="s">
        <v>109</v>
      </c>
    </row>
    <row r="26" spans="1:12" ht="15" customHeight="1">
      <c r="A26" s="1143" t="s">
        <v>110</v>
      </c>
      <c r="B26" s="1143"/>
      <c r="C26" s="1143"/>
      <c r="D26" s="984">
        <v>4674</v>
      </c>
      <c r="E26" s="981"/>
      <c r="F26" s="982"/>
      <c r="G26" s="16" t="s">
        <v>111</v>
      </c>
      <c r="H26" s="16" t="s">
        <v>112</v>
      </c>
      <c r="I26" s="16" t="s">
        <v>113</v>
      </c>
    </row>
    <row r="27" spans="1:12" ht="15" customHeight="1">
      <c r="A27" s="1143" t="s">
        <v>114</v>
      </c>
      <c r="B27" s="1143"/>
      <c r="C27" s="1143"/>
      <c r="D27" s="983">
        <v>763</v>
      </c>
      <c r="E27" s="981"/>
      <c r="F27" s="982"/>
      <c r="G27" s="16" t="s">
        <v>115</v>
      </c>
      <c r="H27" s="16" t="s">
        <v>116</v>
      </c>
      <c r="I27" s="16" t="s">
        <v>117</v>
      </c>
    </row>
    <row r="28" spans="1:12" ht="15" customHeight="1">
      <c r="A28" s="1143" t="s">
        <v>118</v>
      </c>
      <c r="B28" s="1143"/>
      <c r="C28" s="1143"/>
      <c r="D28" s="1143" t="s">
        <v>119</v>
      </c>
      <c r="E28" s="1143"/>
      <c r="F28" s="1143"/>
      <c r="G28" s="16" t="s">
        <v>120</v>
      </c>
      <c r="H28" s="16" t="s">
        <v>121</v>
      </c>
      <c r="I28" s="16" t="s">
        <v>122</v>
      </c>
    </row>
    <row r="29" spans="1:12" ht="15" customHeight="1">
      <c r="A29" s="1143" t="s">
        <v>123</v>
      </c>
      <c r="B29" s="1143"/>
      <c r="C29" s="1143"/>
      <c r="D29" s="1143" t="s">
        <v>124</v>
      </c>
      <c r="E29" s="1143"/>
      <c r="F29" s="1143"/>
      <c r="G29" s="16" t="s">
        <v>125</v>
      </c>
      <c r="H29" s="16" t="s">
        <v>126</v>
      </c>
      <c r="I29" s="16" t="s">
        <v>127</v>
      </c>
    </row>
    <row r="30" spans="1:12" ht="15" customHeight="1">
      <c r="A30" s="1143" t="s">
        <v>68</v>
      </c>
      <c r="B30" s="1143"/>
      <c r="C30" s="1143"/>
      <c r="D30" s="1143" t="s">
        <v>68</v>
      </c>
      <c r="E30" s="1143"/>
      <c r="F30" s="1143"/>
      <c r="G30" s="16" t="s">
        <v>68</v>
      </c>
      <c r="H30" s="16" t="s">
        <v>68</v>
      </c>
      <c r="I30" s="16" t="s">
        <v>68</v>
      </c>
    </row>
    <row r="31" spans="1:12" ht="15" customHeight="1">
      <c r="A31" s="1143" t="s">
        <v>128</v>
      </c>
      <c r="B31" s="1143"/>
      <c r="C31" s="1143"/>
      <c r="D31" s="1143" t="s">
        <v>68</v>
      </c>
      <c r="E31" s="1143"/>
      <c r="F31" s="1143"/>
      <c r="G31" s="16" t="s">
        <v>68</v>
      </c>
      <c r="H31" s="16" t="s">
        <v>68</v>
      </c>
      <c r="I31" s="16" t="s">
        <v>68</v>
      </c>
    </row>
    <row r="32" spans="1:12" ht="15" customHeight="1">
      <c r="A32" s="1143" t="s">
        <v>69</v>
      </c>
      <c r="B32" s="1143"/>
      <c r="C32" s="1143"/>
      <c r="D32" s="1143" t="s">
        <v>70</v>
      </c>
      <c r="E32" s="1143"/>
      <c r="F32" s="1143"/>
      <c r="G32" s="16" t="s">
        <v>71</v>
      </c>
      <c r="H32" s="16" t="s">
        <v>70</v>
      </c>
      <c r="I32" s="16" t="s">
        <v>72</v>
      </c>
    </row>
    <row r="33" spans="1:9" ht="15" customHeight="1">
      <c r="A33" s="1143" t="s">
        <v>129</v>
      </c>
      <c r="B33" s="1143"/>
      <c r="C33" s="1143"/>
      <c r="D33" s="1143" t="s">
        <v>130</v>
      </c>
      <c r="E33" s="1143"/>
      <c r="F33" s="1143"/>
      <c r="G33" s="16" t="s">
        <v>131</v>
      </c>
      <c r="H33" s="16" t="s">
        <v>132</v>
      </c>
      <c r="I33" s="16" t="s">
        <v>133</v>
      </c>
    </row>
    <row r="34" spans="1:9" ht="15" customHeight="1">
      <c r="A34" s="1143" t="s">
        <v>134</v>
      </c>
      <c r="B34" s="1143"/>
      <c r="C34" s="1143"/>
      <c r="D34" s="1143" t="s">
        <v>135</v>
      </c>
      <c r="E34" s="1143"/>
      <c r="F34" s="1143"/>
      <c r="G34" s="16" t="s">
        <v>136</v>
      </c>
      <c r="H34" s="16" t="s">
        <v>137</v>
      </c>
      <c r="I34" s="16" t="s">
        <v>117</v>
      </c>
    </row>
    <row r="35" spans="1:9" ht="15" customHeight="1">
      <c r="A35" s="1143" t="s">
        <v>138</v>
      </c>
      <c r="B35" s="1143"/>
      <c r="C35" s="1143"/>
      <c r="D35" s="1143" t="s">
        <v>139</v>
      </c>
      <c r="E35" s="1143"/>
      <c r="F35" s="1143"/>
      <c r="G35" s="16" t="s">
        <v>140</v>
      </c>
      <c r="H35" s="16" t="s">
        <v>141</v>
      </c>
      <c r="I35" s="16" t="s">
        <v>142</v>
      </c>
    </row>
    <row r="36" spans="1:9">
      <c r="A36" s="1143" t="s">
        <v>143</v>
      </c>
      <c r="B36" s="1143"/>
      <c r="C36" s="1143"/>
      <c r="D36" s="1143" t="s">
        <v>144</v>
      </c>
      <c r="E36" s="1143"/>
      <c r="F36" s="1143"/>
      <c r="G36" s="16" t="s">
        <v>145</v>
      </c>
      <c r="H36" s="16" t="s">
        <v>146</v>
      </c>
      <c r="I36" s="16" t="s">
        <v>77</v>
      </c>
    </row>
    <row r="37" spans="1:9">
      <c r="A37" s="1143" t="s">
        <v>147</v>
      </c>
      <c r="B37" s="1143"/>
      <c r="C37" s="1143"/>
      <c r="D37" s="1143" t="s">
        <v>148</v>
      </c>
      <c r="E37" s="1143"/>
      <c r="F37" s="1143"/>
      <c r="G37" s="16" t="s">
        <v>149</v>
      </c>
      <c r="H37" s="16" t="s">
        <v>92</v>
      </c>
      <c r="I37" s="16" t="s">
        <v>150</v>
      </c>
    </row>
    <row r="38" spans="1:9" ht="15" customHeight="1">
      <c r="A38" s="1143" t="s">
        <v>151</v>
      </c>
      <c r="B38" s="1143"/>
      <c r="C38" s="1143"/>
      <c r="D38" s="1143" t="s">
        <v>152</v>
      </c>
      <c r="E38" s="1143"/>
      <c r="F38" s="1143"/>
      <c r="G38" s="16" t="s">
        <v>153</v>
      </c>
      <c r="H38" s="16" t="s">
        <v>154</v>
      </c>
      <c r="I38" s="16" t="s">
        <v>109</v>
      </c>
    </row>
    <row r="39" spans="1:9">
      <c r="A39" s="1143" t="s">
        <v>155</v>
      </c>
      <c r="B39" s="1143"/>
      <c r="C39" s="1143"/>
      <c r="D39" s="1143" t="s">
        <v>156</v>
      </c>
      <c r="E39" s="1143"/>
      <c r="F39" s="1143"/>
      <c r="G39" s="16" t="s">
        <v>157</v>
      </c>
      <c r="H39" s="16" t="s">
        <v>158</v>
      </c>
      <c r="I39" s="16" t="s">
        <v>105</v>
      </c>
    </row>
    <row r="40" spans="1:9">
      <c r="A40" s="1143" t="s">
        <v>159</v>
      </c>
      <c r="B40" s="1143"/>
      <c r="C40" s="1143"/>
      <c r="D40" s="1143" t="s">
        <v>160</v>
      </c>
      <c r="E40" s="1143"/>
      <c r="F40" s="1143"/>
      <c r="G40" s="16" t="s">
        <v>161</v>
      </c>
      <c r="H40" s="16" t="s">
        <v>162</v>
      </c>
      <c r="I40" s="16" t="s">
        <v>87</v>
      </c>
    </row>
    <row r="41" spans="1:9">
      <c r="A41" s="1143" t="s">
        <v>163</v>
      </c>
      <c r="B41" s="1143"/>
      <c r="C41" s="1143"/>
      <c r="D41" s="1143" t="s">
        <v>164</v>
      </c>
      <c r="E41" s="1143"/>
      <c r="F41" s="1143"/>
      <c r="G41" s="16" t="s">
        <v>165</v>
      </c>
      <c r="H41" s="16" t="s">
        <v>166</v>
      </c>
      <c r="I41" s="16" t="s">
        <v>167</v>
      </c>
    </row>
    <row r="42" spans="1:9">
      <c r="A42" s="1143" t="s">
        <v>68</v>
      </c>
      <c r="B42" s="1143"/>
      <c r="C42" s="1143"/>
      <c r="D42" s="1143" t="s">
        <v>68</v>
      </c>
      <c r="E42" s="1143"/>
      <c r="F42" s="1143"/>
      <c r="G42" s="16" t="s">
        <v>68</v>
      </c>
      <c r="H42" s="16" t="s">
        <v>68</v>
      </c>
      <c r="I42" s="16" t="s">
        <v>68</v>
      </c>
    </row>
    <row r="43" spans="1:9">
      <c r="A43" s="1143" t="s">
        <v>168</v>
      </c>
      <c r="B43" s="1143"/>
      <c r="C43" s="1143"/>
      <c r="D43" s="1143" t="s">
        <v>68</v>
      </c>
      <c r="E43" s="1143"/>
      <c r="F43" s="1143"/>
      <c r="G43" s="16" t="s">
        <v>68</v>
      </c>
      <c r="H43" s="16" t="s">
        <v>68</v>
      </c>
      <c r="I43" s="16" t="s">
        <v>68</v>
      </c>
    </row>
    <row r="44" spans="1:9">
      <c r="A44" s="1143" t="s">
        <v>69</v>
      </c>
      <c r="B44" s="1143"/>
      <c r="C44" s="1143"/>
      <c r="D44" s="1143" t="s">
        <v>70</v>
      </c>
      <c r="E44" s="1143"/>
      <c r="F44" s="1143"/>
      <c r="G44" s="16" t="s">
        <v>71</v>
      </c>
      <c r="H44" s="16" t="s">
        <v>70</v>
      </c>
      <c r="I44" s="16" t="s">
        <v>72</v>
      </c>
    </row>
    <row r="45" spans="1:9">
      <c r="A45" s="1143" t="s">
        <v>169</v>
      </c>
      <c r="B45" s="1143"/>
      <c r="C45" s="1143"/>
      <c r="D45" s="1143" t="s">
        <v>170</v>
      </c>
      <c r="E45" s="1143"/>
      <c r="F45" s="1143"/>
      <c r="G45" s="16" t="s">
        <v>171</v>
      </c>
      <c r="H45" s="16" t="s">
        <v>172</v>
      </c>
      <c r="I45" s="16" t="s">
        <v>122</v>
      </c>
    </row>
    <row r="46" spans="1:9">
      <c r="A46" s="1143" t="s">
        <v>173</v>
      </c>
      <c r="B46" s="1143"/>
      <c r="C46" s="1143"/>
      <c r="D46" s="1143" t="s">
        <v>174</v>
      </c>
      <c r="E46" s="1143"/>
      <c r="F46" s="1143"/>
      <c r="G46" s="16" t="s">
        <v>175</v>
      </c>
      <c r="H46" s="16" t="s">
        <v>121</v>
      </c>
      <c r="I46" s="16" t="s">
        <v>122</v>
      </c>
    </row>
    <row r="47" spans="1:9" ht="15" customHeight="1">
      <c r="A47" s="1143" t="s">
        <v>176</v>
      </c>
      <c r="B47" s="1143"/>
      <c r="C47" s="1143"/>
      <c r="D47" s="1143" t="s">
        <v>177</v>
      </c>
      <c r="E47" s="1143"/>
      <c r="F47" s="1143"/>
      <c r="G47" s="16" t="s">
        <v>178</v>
      </c>
      <c r="H47" s="16" t="s">
        <v>179</v>
      </c>
      <c r="I47" s="16" t="s">
        <v>142</v>
      </c>
    </row>
    <row r="48" spans="1:9" ht="15" customHeight="1">
      <c r="A48" s="1143" t="s">
        <v>180</v>
      </c>
      <c r="B48" s="1143"/>
      <c r="C48" s="1143"/>
      <c r="D48" s="1143" t="s">
        <v>181</v>
      </c>
      <c r="E48" s="1143"/>
      <c r="F48" s="1143"/>
      <c r="G48" s="16" t="s">
        <v>182</v>
      </c>
      <c r="H48" s="16" t="s">
        <v>183</v>
      </c>
      <c r="I48" s="16" t="s">
        <v>150</v>
      </c>
    </row>
    <row r="49" spans="1:9">
      <c r="A49" s="1143" t="s">
        <v>184</v>
      </c>
      <c r="B49" s="1143"/>
      <c r="C49" s="1143"/>
      <c r="D49" s="1143" t="s">
        <v>185</v>
      </c>
      <c r="E49" s="1143"/>
      <c r="F49" s="1143"/>
      <c r="G49" s="16" t="s">
        <v>186</v>
      </c>
      <c r="H49" s="16" t="s">
        <v>187</v>
      </c>
      <c r="I49" s="16" t="s">
        <v>142</v>
      </c>
    </row>
    <row r="50" spans="1:9" ht="15" customHeight="1">
      <c r="A50" s="1143" t="s">
        <v>188</v>
      </c>
      <c r="B50" s="1143"/>
      <c r="C50" s="1143"/>
      <c r="D50" s="1143" t="s">
        <v>189</v>
      </c>
      <c r="E50" s="1143"/>
      <c r="F50" s="1143"/>
      <c r="G50" s="16" t="s">
        <v>190</v>
      </c>
      <c r="H50" s="16" t="s">
        <v>191</v>
      </c>
      <c r="I50" s="16" t="s">
        <v>142</v>
      </c>
    </row>
    <row r="51" spans="1:9" ht="15" customHeight="1">
      <c r="A51" s="1143" t="s">
        <v>192</v>
      </c>
      <c r="B51" s="1143"/>
      <c r="C51" s="1143"/>
      <c r="D51" s="1143" t="s">
        <v>193</v>
      </c>
      <c r="E51" s="1143"/>
      <c r="F51" s="1143"/>
      <c r="G51" s="16" t="s">
        <v>194</v>
      </c>
      <c r="H51" s="16" t="s">
        <v>195</v>
      </c>
      <c r="I51" s="16" t="s">
        <v>196</v>
      </c>
    </row>
    <row r="52" spans="1:9" ht="15" customHeight="1">
      <c r="A52" s="1143" t="s">
        <v>197</v>
      </c>
      <c r="B52" s="1143"/>
      <c r="C52" s="1143"/>
      <c r="D52" s="1143" t="s">
        <v>198</v>
      </c>
      <c r="E52" s="1143"/>
      <c r="F52" s="1143"/>
      <c r="G52" s="16" t="s">
        <v>199</v>
      </c>
      <c r="H52" s="16" t="s">
        <v>200</v>
      </c>
      <c r="I52" s="16" t="s">
        <v>167</v>
      </c>
    </row>
    <row r="53" spans="1:9" ht="15" customHeight="1">
      <c r="A53" s="1143" t="s">
        <v>201</v>
      </c>
      <c r="B53" s="1143"/>
      <c r="C53" s="1143"/>
      <c r="D53" s="1143" t="s">
        <v>202</v>
      </c>
      <c r="E53" s="1143"/>
      <c r="F53" s="1143"/>
      <c r="G53" s="16" t="s">
        <v>203</v>
      </c>
      <c r="H53" s="16" t="s">
        <v>204</v>
      </c>
      <c r="I53" s="16" t="s">
        <v>205</v>
      </c>
    </row>
    <row r="54" spans="1:9" ht="15" customHeight="1">
      <c r="A54" s="1143" t="s">
        <v>206</v>
      </c>
      <c r="B54" s="1143"/>
      <c r="C54" s="1143"/>
      <c r="D54" s="1143" t="s">
        <v>207</v>
      </c>
      <c r="E54" s="1143"/>
      <c r="F54" s="1143"/>
      <c r="G54" s="16" t="s">
        <v>208</v>
      </c>
      <c r="H54" s="16" t="s">
        <v>72</v>
      </c>
      <c r="I54" s="16" t="s">
        <v>72</v>
      </c>
    </row>
    <row r="55" spans="1:9" ht="15" customHeight="1">
      <c r="A55" s="1143" t="s">
        <v>68</v>
      </c>
      <c r="B55" s="1143"/>
      <c r="C55" s="1143"/>
      <c r="D55" s="1143" t="s">
        <v>68</v>
      </c>
      <c r="E55" s="1143"/>
      <c r="F55" s="1143"/>
      <c r="G55" s="16" t="s">
        <v>68</v>
      </c>
      <c r="H55" s="16" t="s">
        <v>68</v>
      </c>
      <c r="I55" s="16" t="s">
        <v>68</v>
      </c>
    </row>
    <row r="56" spans="1:9" ht="15" customHeight="1">
      <c r="A56" s="1143" t="s">
        <v>209</v>
      </c>
      <c r="B56" s="1143"/>
      <c r="C56" s="1143"/>
      <c r="D56" s="1143" t="s">
        <v>68</v>
      </c>
      <c r="E56" s="1143"/>
      <c r="F56" s="1143"/>
      <c r="G56" s="16" t="s">
        <v>68</v>
      </c>
      <c r="H56" s="16" t="s">
        <v>68</v>
      </c>
      <c r="I56" s="16" t="s">
        <v>68</v>
      </c>
    </row>
    <row r="57" spans="1:9" ht="15" customHeight="1">
      <c r="A57" s="1143" t="s">
        <v>69</v>
      </c>
      <c r="B57" s="1143"/>
      <c r="C57" s="1143"/>
      <c r="D57" s="1143" t="s">
        <v>70</v>
      </c>
      <c r="E57" s="1143"/>
      <c r="F57" s="1143"/>
      <c r="G57" s="16" t="s">
        <v>71</v>
      </c>
      <c r="H57" s="16" t="s">
        <v>70</v>
      </c>
      <c r="I57" s="16" t="s">
        <v>72</v>
      </c>
    </row>
    <row r="58" spans="1:9">
      <c r="A58" s="1143" t="s">
        <v>210</v>
      </c>
      <c r="B58" s="1143"/>
      <c r="C58" s="1143"/>
      <c r="D58" s="1143" t="s">
        <v>211</v>
      </c>
      <c r="E58" s="1143"/>
      <c r="F58" s="1143"/>
      <c r="G58" s="16" t="s">
        <v>171</v>
      </c>
      <c r="H58" s="16" t="s">
        <v>172</v>
      </c>
      <c r="I58" s="16" t="s">
        <v>122</v>
      </c>
    </row>
    <row r="59" spans="1:9" ht="15" customHeight="1">
      <c r="A59" s="1143" t="s">
        <v>212</v>
      </c>
      <c r="B59" s="1143"/>
      <c r="C59" s="1143"/>
      <c r="D59" s="1143" t="s">
        <v>213</v>
      </c>
      <c r="E59" s="1143"/>
      <c r="F59" s="1143"/>
      <c r="G59" s="16" t="s">
        <v>214</v>
      </c>
      <c r="H59" s="16" t="s">
        <v>215</v>
      </c>
      <c r="I59" s="16" t="s">
        <v>216</v>
      </c>
    </row>
    <row r="60" spans="1:9" ht="15" customHeight="1">
      <c r="A60" s="1143" t="s">
        <v>217</v>
      </c>
      <c r="B60" s="1143"/>
      <c r="C60" s="1143"/>
      <c r="D60" s="1143" t="s">
        <v>218</v>
      </c>
      <c r="E60" s="1143"/>
      <c r="F60" s="1143"/>
      <c r="G60" s="16" t="s">
        <v>219</v>
      </c>
      <c r="H60" s="16" t="s">
        <v>220</v>
      </c>
      <c r="I60" s="16" t="s">
        <v>221</v>
      </c>
    </row>
    <row r="61" spans="1:9" ht="15" customHeight="1">
      <c r="A61" s="1143" t="s">
        <v>222</v>
      </c>
      <c r="B61" s="1143"/>
      <c r="C61" s="1143"/>
      <c r="D61" s="1143" t="s">
        <v>223</v>
      </c>
      <c r="E61" s="1143"/>
      <c r="F61" s="1143"/>
      <c r="G61" s="16" t="s">
        <v>224</v>
      </c>
      <c r="H61" s="16" t="s">
        <v>225</v>
      </c>
      <c r="I61" s="16" t="s">
        <v>226</v>
      </c>
    </row>
    <row r="62" spans="1:9" ht="15" customHeight="1">
      <c r="A62" s="1143" t="s">
        <v>227</v>
      </c>
      <c r="B62" s="1143"/>
      <c r="C62" s="1143"/>
      <c r="D62" s="1143" t="s">
        <v>228</v>
      </c>
      <c r="E62" s="1143"/>
      <c r="F62" s="1143"/>
      <c r="G62" s="16" t="s">
        <v>229</v>
      </c>
      <c r="H62" s="16" t="s">
        <v>230</v>
      </c>
      <c r="I62" s="16" t="s">
        <v>216</v>
      </c>
    </row>
    <row r="63" spans="1:9">
      <c r="A63" s="1143" t="s">
        <v>231</v>
      </c>
      <c r="B63" s="1143"/>
      <c r="C63" s="1143"/>
      <c r="D63" s="1143" t="s">
        <v>232</v>
      </c>
      <c r="E63" s="1143"/>
      <c r="F63" s="1143"/>
      <c r="G63" s="16" t="s">
        <v>233</v>
      </c>
      <c r="H63" s="16" t="s">
        <v>234</v>
      </c>
      <c r="I63" s="16" t="s">
        <v>133</v>
      </c>
    </row>
    <row r="64" spans="1:9" ht="15" customHeight="1">
      <c r="A64" s="1143" t="s">
        <v>68</v>
      </c>
      <c r="B64" s="1143"/>
      <c r="C64" s="1143"/>
      <c r="D64" s="1143" t="s">
        <v>68</v>
      </c>
      <c r="E64" s="1143"/>
      <c r="F64" s="1143"/>
      <c r="G64" s="16" t="s">
        <v>68</v>
      </c>
      <c r="H64" s="16" t="s">
        <v>68</v>
      </c>
      <c r="I64" s="16" t="s">
        <v>68</v>
      </c>
    </row>
    <row r="65" spans="1:9" ht="15" customHeight="1">
      <c r="A65" s="1143" t="s">
        <v>235</v>
      </c>
      <c r="B65" s="1143"/>
      <c r="C65" s="1143"/>
      <c r="D65" s="1143" t="s">
        <v>68</v>
      </c>
      <c r="E65" s="1143"/>
      <c r="F65" s="1143"/>
      <c r="G65" s="16" t="s">
        <v>68</v>
      </c>
      <c r="H65" s="16" t="s">
        <v>68</v>
      </c>
      <c r="I65" s="16" t="s">
        <v>68</v>
      </c>
    </row>
    <row r="66" spans="1:9">
      <c r="A66" s="1143" t="s">
        <v>236</v>
      </c>
      <c r="B66" s="1143"/>
      <c r="C66" s="1143"/>
      <c r="D66" s="1143" t="s">
        <v>74</v>
      </c>
      <c r="E66" s="1143"/>
      <c r="F66" s="1143"/>
      <c r="G66" s="16" t="s">
        <v>75</v>
      </c>
      <c r="H66" s="16" t="s">
        <v>74</v>
      </c>
      <c r="I66" s="16" t="s">
        <v>72</v>
      </c>
    </row>
    <row r="67" spans="1:9" ht="15" customHeight="1">
      <c r="A67" s="1143" t="s">
        <v>237</v>
      </c>
      <c r="B67" s="1143"/>
      <c r="C67" s="1143"/>
      <c r="D67" s="1143" t="s">
        <v>238</v>
      </c>
      <c r="E67" s="1143"/>
      <c r="F67" s="1143"/>
      <c r="G67" s="16" t="s">
        <v>239</v>
      </c>
      <c r="H67" s="16" t="s">
        <v>240</v>
      </c>
      <c r="I67" s="16" t="s">
        <v>109</v>
      </c>
    </row>
    <row r="68" spans="1:9" ht="15" customHeight="1">
      <c r="A68" s="1143" t="s">
        <v>241</v>
      </c>
      <c r="B68" s="1143"/>
      <c r="C68" s="1143"/>
      <c r="D68" s="1143" t="s">
        <v>242</v>
      </c>
      <c r="E68" s="1143"/>
      <c r="F68" s="1143"/>
      <c r="G68" s="16" t="s">
        <v>243</v>
      </c>
      <c r="H68" s="16" t="s">
        <v>244</v>
      </c>
      <c r="I68" s="16" t="s">
        <v>109</v>
      </c>
    </row>
    <row r="69" spans="1:9" ht="15" customHeight="1">
      <c r="A69" s="1143" t="s">
        <v>68</v>
      </c>
      <c r="B69" s="1143"/>
      <c r="C69" s="1143"/>
      <c r="D69" s="1143" t="s">
        <v>68</v>
      </c>
      <c r="E69" s="1143"/>
      <c r="F69" s="1143"/>
      <c r="G69" s="16" t="s">
        <v>68</v>
      </c>
      <c r="H69" s="16" t="s">
        <v>68</v>
      </c>
      <c r="I69" s="16" t="s">
        <v>68</v>
      </c>
    </row>
    <row r="70" spans="1:9" ht="15" customHeight="1">
      <c r="A70" s="1143" t="s">
        <v>245</v>
      </c>
      <c r="B70" s="1143"/>
      <c r="C70" s="1143"/>
      <c r="D70" s="1143" t="s">
        <v>246</v>
      </c>
      <c r="E70" s="1143"/>
      <c r="F70" s="1143"/>
      <c r="G70" s="16" t="s">
        <v>247</v>
      </c>
      <c r="H70" s="16" t="s">
        <v>72</v>
      </c>
      <c r="I70" s="16" t="s">
        <v>72</v>
      </c>
    </row>
    <row r="71" spans="1:9" ht="15" customHeight="1">
      <c r="A71" s="1143" t="s">
        <v>248</v>
      </c>
      <c r="B71" s="1143"/>
      <c r="C71" s="1143"/>
      <c r="D71" s="1143" t="s">
        <v>249</v>
      </c>
      <c r="E71" s="1143"/>
      <c r="F71" s="1143"/>
      <c r="G71" s="16" t="s">
        <v>250</v>
      </c>
      <c r="H71" s="16" t="s">
        <v>72</v>
      </c>
      <c r="I71" s="16" t="s">
        <v>72</v>
      </c>
    </row>
    <row r="72" spans="1:9" ht="15" customHeight="1">
      <c r="A72" s="1143" t="s">
        <v>68</v>
      </c>
      <c r="B72" s="1143"/>
      <c r="C72" s="1143"/>
      <c r="D72" s="1143" t="s">
        <v>68</v>
      </c>
      <c r="E72" s="1143"/>
      <c r="F72" s="1143"/>
      <c r="G72" s="16" t="s">
        <v>68</v>
      </c>
      <c r="H72" s="16" t="s">
        <v>68</v>
      </c>
      <c r="I72" s="16" t="s">
        <v>68</v>
      </c>
    </row>
    <row r="73" spans="1:9" ht="15" customHeight="1">
      <c r="A73" s="1143" t="s">
        <v>251</v>
      </c>
      <c r="B73" s="1143"/>
      <c r="C73" s="1143"/>
      <c r="D73" s="1143" t="s">
        <v>68</v>
      </c>
      <c r="E73" s="1143"/>
      <c r="F73" s="1143"/>
      <c r="G73" s="16" t="s">
        <v>68</v>
      </c>
      <c r="H73" s="16" t="s">
        <v>68</v>
      </c>
      <c r="I73" s="16" t="s">
        <v>68</v>
      </c>
    </row>
    <row r="74" spans="1:9" ht="15" customHeight="1">
      <c r="A74" s="1143" t="s">
        <v>236</v>
      </c>
      <c r="B74" s="1143"/>
      <c r="C74" s="1143"/>
      <c r="D74" s="1143" t="s">
        <v>74</v>
      </c>
      <c r="E74" s="1143"/>
      <c r="F74" s="1143"/>
      <c r="G74" s="16" t="s">
        <v>75</v>
      </c>
      <c r="H74" s="16" t="s">
        <v>74</v>
      </c>
      <c r="I74" s="16" t="s">
        <v>72</v>
      </c>
    </row>
    <row r="75" spans="1:9">
      <c r="A75" s="1143" t="s">
        <v>252</v>
      </c>
      <c r="B75" s="1143"/>
      <c r="C75" s="1143"/>
      <c r="D75" s="1143" t="s">
        <v>253</v>
      </c>
      <c r="E75" s="1143"/>
      <c r="F75" s="1143"/>
      <c r="G75" s="16" t="s">
        <v>254</v>
      </c>
      <c r="H75" s="16" t="s">
        <v>255</v>
      </c>
      <c r="I75" s="16" t="s">
        <v>150</v>
      </c>
    </row>
    <row r="76" spans="1:9" ht="15" customHeight="1">
      <c r="A76" s="1143" t="s">
        <v>256</v>
      </c>
      <c r="B76" s="1143"/>
      <c r="C76" s="1143"/>
      <c r="D76" s="1143" t="s">
        <v>257</v>
      </c>
      <c r="E76" s="1143"/>
      <c r="F76" s="1143"/>
      <c r="G76" s="16" t="s">
        <v>258</v>
      </c>
      <c r="H76" s="16" t="s">
        <v>259</v>
      </c>
      <c r="I76" s="16" t="s">
        <v>109</v>
      </c>
    </row>
    <row r="77" spans="1:9" ht="15" customHeight="1">
      <c r="A77" s="1143" t="s">
        <v>260</v>
      </c>
      <c r="B77" s="1143"/>
      <c r="C77" s="1143"/>
      <c r="D77" s="1143" t="s">
        <v>261</v>
      </c>
      <c r="E77" s="1143"/>
      <c r="F77" s="1143"/>
      <c r="G77" s="16" t="s">
        <v>262</v>
      </c>
      <c r="H77" s="16" t="s">
        <v>263</v>
      </c>
      <c r="I77" s="16" t="s">
        <v>264</v>
      </c>
    </row>
    <row r="78" spans="1:9" ht="15" customHeight="1">
      <c r="A78" s="1143" t="s">
        <v>265</v>
      </c>
      <c r="B78" s="1143"/>
      <c r="C78" s="1143"/>
      <c r="D78" s="1143" t="s">
        <v>266</v>
      </c>
      <c r="E78" s="1143"/>
      <c r="F78" s="1143"/>
      <c r="G78" s="16" t="s">
        <v>267</v>
      </c>
      <c r="H78" s="16" t="s">
        <v>132</v>
      </c>
      <c r="I78" s="16" t="s">
        <v>87</v>
      </c>
    </row>
    <row r="79" spans="1:9" ht="15" customHeight="1">
      <c r="A79" s="1143" t="s">
        <v>268</v>
      </c>
      <c r="B79" s="1143"/>
      <c r="C79" s="1143"/>
      <c r="D79" s="1143" t="s">
        <v>119</v>
      </c>
      <c r="E79" s="1143"/>
      <c r="F79" s="1143"/>
      <c r="G79" s="16" t="s">
        <v>269</v>
      </c>
      <c r="H79" s="16" t="s">
        <v>101</v>
      </c>
      <c r="I79" s="16" t="s">
        <v>270</v>
      </c>
    </row>
    <row r="80" spans="1:9" ht="15" customHeight="1">
      <c r="A80" s="1143" t="s">
        <v>271</v>
      </c>
      <c r="B80" s="1143"/>
      <c r="C80" s="1143"/>
      <c r="D80" s="1143" t="s">
        <v>272</v>
      </c>
      <c r="E80" s="1143"/>
      <c r="F80" s="1143"/>
      <c r="G80" s="16" t="s">
        <v>273</v>
      </c>
      <c r="H80" s="16" t="s">
        <v>274</v>
      </c>
      <c r="I80" s="16" t="s">
        <v>275</v>
      </c>
    </row>
    <row r="81" spans="1:9" ht="15" customHeight="1">
      <c r="A81" s="1143" t="s">
        <v>68</v>
      </c>
      <c r="B81" s="1143"/>
      <c r="C81" s="1143"/>
      <c r="D81" s="1143" t="s">
        <v>68</v>
      </c>
      <c r="E81" s="1143"/>
      <c r="F81" s="1143"/>
      <c r="G81" s="16" t="s">
        <v>68</v>
      </c>
      <c r="H81" s="16" t="s">
        <v>68</v>
      </c>
      <c r="I81" s="16" t="s">
        <v>68</v>
      </c>
    </row>
    <row r="82" spans="1:9">
      <c r="A82" s="1143" t="s">
        <v>276</v>
      </c>
      <c r="B82" s="1143"/>
      <c r="C82" s="1143"/>
      <c r="D82" s="1143" t="s">
        <v>68</v>
      </c>
      <c r="E82" s="1143"/>
      <c r="F82" s="1143"/>
      <c r="G82" s="16" t="s">
        <v>68</v>
      </c>
      <c r="H82" s="16" t="s">
        <v>68</v>
      </c>
      <c r="I82" s="16" t="s">
        <v>68</v>
      </c>
    </row>
    <row r="83" spans="1:9" ht="15" customHeight="1">
      <c r="A83" s="1143" t="s">
        <v>236</v>
      </c>
      <c r="B83" s="1143"/>
      <c r="C83" s="1143"/>
      <c r="D83" s="1143" t="s">
        <v>74</v>
      </c>
      <c r="E83" s="1143"/>
      <c r="F83" s="1143"/>
      <c r="G83" s="16" t="s">
        <v>75</v>
      </c>
      <c r="H83" s="16" t="s">
        <v>74</v>
      </c>
      <c r="I83" s="16" t="s">
        <v>72</v>
      </c>
    </row>
    <row r="84" spans="1:9" ht="15" customHeight="1">
      <c r="A84" s="1143" t="s">
        <v>277</v>
      </c>
      <c r="B84" s="1143"/>
      <c r="C84" s="1143"/>
      <c r="D84" s="1143" t="s">
        <v>278</v>
      </c>
      <c r="E84" s="1143"/>
      <c r="F84" s="1143"/>
      <c r="G84" s="16" t="s">
        <v>279</v>
      </c>
      <c r="H84" s="16" t="s">
        <v>200</v>
      </c>
      <c r="I84" s="16" t="s">
        <v>205</v>
      </c>
    </row>
    <row r="85" spans="1:9" ht="15" customHeight="1">
      <c r="A85" s="1143" t="s">
        <v>280</v>
      </c>
      <c r="B85" s="1143"/>
      <c r="C85" s="1143"/>
      <c r="D85" s="1143" t="s">
        <v>281</v>
      </c>
      <c r="E85" s="1143"/>
      <c r="F85" s="1143"/>
      <c r="G85" s="16" t="s">
        <v>282</v>
      </c>
      <c r="H85" s="16" t="s">
        <v>283</v>
      </c>
      <c r="I85" s="16" t="s">
        <v>284</v>
      </c>
    </row>
    <row r="86" spans="1:9" ht="15" customHeight="1">
      <c r="A86" s="1143" t="s">
        <v>285</v>
      </c>
      <c r="B86" s="1143"/>
      <c r="C86" s="1143"/>
      <c r="D86" s="1143" t="s">
        <v>286</v>
      </c>
      <c r="E86" s="1143"/>
      <c r="F86" s="1143"/>
      <c r="G86" s="16" t="s">
        <v>287</v>
      </c>
      <c r="H86" s="16" t="s">
        <v>288</v>
      </c>
      <c r="I86" s="16" t="s">
        <v>289</v>
      </c>
    </row>
    <row r="87" spans="1:9" ht="15" customHeight="1">
      <c r="A87" s="1143" t="s">
        <v>290</v>
      </c>
      <c r="B87" s="1143"/>
      <c r="C87" s="1143"/>
      <c r="D87" s="1143" t="s">
        <v>291</v>
      </c>
      <c r="E87" s="1143"/>
      <c r="F87" s="1143"/>
      <c r="G87" s="16" t="s">
        <v>292</v>
      </c>
      <c r="H87" s="16" t="s">
        <v>293</v>
      </c>
      <c r="I87" s="16" t="s">
        <v>113</v>
      </c>
    </row>
    <row r="88" spans="1:9" ht="15" customHeight="1">
      <c r="A88" s="1143" t="s">
        <v>68</v>
      </c>
      <c r="B88" s="1143"/>
      <c r="C88" s="1143"/>
      <c r="D88" s="1143" t="s">
        <v>68</v>
      </c>
      <c r="E88" s="1143"/>
      <c r="F88" s="1143"/>
      <c r="G88" s="16" t="s">
        <v>68</v>
      </c>
      <c r="H88" s="16" t="s">
        <v>68</v>
      </c>
      <c r="I88" s="16" t="s">
        <v>68</v>
      </c>
    </row>
    <row r="89" spans="1:9" ht="15" customHeight="1">
      <c r="A89" s="1145" t="s">
        <v>294</v>
      </c>
      <c r="B89" s="1145"/>
      <c r="C89" s="1145"/>
      <c r="D89" s="1145" t="s">
        <v>68</v>
      </c>
      <c r="E89" s="1145"/>
      <c r="F89" s="1145"/>
      <c r="G89" s="18" t="s">
        <v>68</v>
      </c>
      <c r="H89" s="18" t="s">
        <v>68</v>
      </c>
      <c r="I89" s="18" t="s">
        <v>68</v>
      </c>
    </row>
    <row r="90" spans="1:9">
      <c r="A90" s="1145" t="s">
        <v>236</v>
      </c>
      <c r="B90" s="1145"/>
      <c r="C90" s="1145"/>
      <c r="D90" s="1145" t="s">
        <v>74</v>
      </c>
      <c r="E90" s="1145"/>
      <c r="F90" s="1145"/>
      <c r="G90" s="18" t="s">
        <v>75</v>
      </c>
      <c r="H90" s="18" t="s">
        <v>74</v>
      </c>
      <c r="I90" s="18" t="s">
        <v>72</v>
      </c>
    </row>
    <row r="91" spans="1:9" ht="15" customHeight="1">
      <c r="A91" s="1145" t="s">
        <v>295</v>
      </c>
      <c r="B91" s="1145"/>
      <c r="C91" s="1145"/>
      <c r="D91" s="1145" t="s">
        <v>296</v>
      </c>
      <c r="E91" s="1145"/>
      <c r="F91" s="1145"/>
      <c r="G91" s="18" t="s">
        <v>297</v>
      </c>
      <c r="H91" s="18" t="s">
        <v>298</v>
      </c>
      <c r="I91" s="18" t="s">
        <v>226</v>
      </c>
    </row>
    <row r="92" spans="1:9" ht="15" customHeight="1">
      <c r="A92" s="1145" t="s">
        <v>299</v>
      </c>
      <c r="B92" s="1145"/>
      <c r="C92" s="1145"/>
      <c r="D92" s="1145" t="s">
        <v>300</v>
      </c>
      <c r="E92" s="1145"/>
      <c r="F92" s="1145"/>
      <c r="G92" s="18" t="s">
        <v>301</v>
      </c>
      <c r="H92" s="18" t="s">
        <v>302</v>
      </c>
      <c r="I92" s="18" t="s">
        <v>303</v>
      </c>
    </row>
    <row r="93" spans="1:9" ht="15" customHeight="1">
      <c r="A93" s="1145" t="s">
        <v>304</v>
      </c>
      <c r="B93" s="1145"/>
      <c r="C93" s="1145"/>
      <c r="D93" s="1145" t="s">
        <v>305</v>
      </c>
      <c r="E93" s="1145"/>
      <c r="F93" s="1145"/>
      <c r="G93" s="18" t="s">
        <v>306</v>
      </c>
      <c r="H93" s="18" t="s">
        <v>307</v>
      </c>
      <c r="I93" s="18" t="s">
        <v>150</v>
      </c>
    </row>
    <row r="94" spans="1:9">
      <c r="A94" s="1145" t="s">
        <v>308</v>
      </c>
      <c r="B94" s="1145"/>
      <c r="C94" s="1145"/>
      <c r="D94" s="1145" t="s">
        <v>309</v>
      </c>
      <c r="E94" s="1145"/>
      <c r="F94" s="1145"/>
      <c r="G94" s="18" t="s">
        <v>310</v>
      </c>
      <c r="H94" s="18" t="s">
        <v>311</v>
      </c>
      <c r="I94" s="18" t="s">
        <v>133</v>
      </c>
    </row>
    <row r="95" spans="1:9" ht="15" customHeight="1">
      <c r="A95" s="1145" t="s">
        <v>312</v>
      </c>
      <c r="B95" s="1145"/>
      <c r="C95" s="1145"/>
      <c r="D95" s="1145" t="s">
        <v>313</v>
      </c>
      <c r="E95" s="1145"/>
      <c r="F95" s="1145"/>
      <c r="G95" s="18" t="s">
        <v>314</v>
      </c>
      <c r="H95" s="18" t="s">
        <v>126</v>
      </c>
      <c r="I95" s="18" t="s">
        <v>208</v>
      </c>
    </row>
    <row r="96" spans="1:9" ht="15" customHeight="1">
      <c r="A96" s="1145" t="s">
        <v>315</v>
      </c>
      <c r="B96" s="1145"/>
      <c r="C96" s="1145"/>
      <c r="D96" s="1145" t="s">
        <v>124</v>
      </c>
      <c r="E96" s="1145"/>
      <c r="F96" s="1145"/>
      <c r="G96" s="18" t="s">
        <v>125</v>
      </c>
      <c r="H96" s="18" t="s">
        <v>126</v>
      </c>
      <c r="I96" s="18" t="s">
        <v>127</v>
      </c>
    </row>
    <row r="97" spans="1:9" ht="15" customHeight="1">
      <c r="A97" s="1145" t="s">
        <v>316</v>
      </c>
      <c r="B97" s="1145"/>
      <c r="C97" s="1145"/>
      <c r="D97" s="1145" t="s">
        <v>45</v>
      </c>
      <c r="E97" s="1145"/>
      <c r="F97" s="1145"/>
      <c r="G97" s="18" t="s">
        <v>317</v>
      </c>
      <c r="H97" s="18" t="s">
        <v>318</v>
      </c>
      <c r="I97" s="18" t="s">
        <v>319</v>
      </c>
    </row>
    <row r="98" spans="1:9" ht="15" customHeight="1">
      <c r="A98" s="1145" t="s">
        <v>320</v>
      </c>
      <c r="B98" s="1145"/>
      <c r="C98" s="1145"/>
      <c r="D98" s="1145" t="s">
        <v>45</v>
      </c>
      <c r="E98" s="1145"/>
      <c r="F98" s="1145"/>
      <c r="G98" s="18" t="s">
        <v>317</v>
      </c>
      <c r="H98" s="18" t="s">
        <v>318</v>
      </c>
      <c r="I98" s="18" t="s">
        <v>319</v>
      </c>
    </row>
    <row r="99" spans="1:9" ht="15" customHeight="1">
      <c r="A99" s="1145" t="s">
        <v>321</v>
      </c>
      <c r="B99" s="1145"/>
      <c r="C99" s="1145"/>
      <c r="D99" s="1145" t="s">
        <v>322</v>
      </c>
      <c r="E99" s="1145"/>
      <c r="F99" s="1145"/>
      <c r="G99" s="18" t="s">
        <v>323</v>
      </c>
      <c r="H99" s="18" t="s">
        <v>126</v>
      </c>
      <c r="I99" s="18" t="s">
        <v>127</v>
      </c>
    </row>
    <row r="100" spans="1:9">
      <c r="A100" s="1143" t="s">
        <v>68</v>
      </c>
      <c r="B100" s="1143"/>
      <c r="C100" s="1143"/>
      <c r="D100" s="1143" t="s">
        <v>68</v>
      </c>
      <c r="E100" s="1143"/>
      <c r="F100" s="1143"/>
      <c r="G100" s="16" t="s">
        <v>68</v>
      </c>
      <c r="H100" s="16" t="s">
        <v>68</v>
      </c>
      <c r="I100" s="16" t="s">
        <v>68</v>
      </c>
    </row>
    <row r="101" spans="1:9" ht="15" customHeight="1">
      <c r="A101" s="1143" t="s">
        <v>324</v>
      </c>
      <c r="B101" s="1143"/>
      <c r="C101" s="1143"/>
      <c r="D101" s="1143" t="s">
        <v>68</v>
      </c>
      <c r="E101" s="1143"/>
      <c r="F101" s="1143"/>
      <c r="G101" s="16" t="s">
        <v>68</v>
      </c>
      <c r="H101" s="16" t="s">
        <v>68</v>
      </c>
      <c r="I101" s="16" t="s">
        <v>68</v>
      </c>
    </row>
    <row r="102" spans="1:9" ht="15" customHeight="1">
      <c r="A102" s="1143" t="s">
        <v>236</v>
      </c>
      <c r="B102" s="1143"/>
      <c r="C102" s="1143"/>
      <c r="D102" s="1143" t="s">
        <v>74</v>
      </c>
      <c r="E102" s="1143"/>
      <c r="F102" s="1143"/>
      <c r="G102" s="16" t="s">
        <v>75</v>
      </c>
      <c r="H102" s="16" t="s">
        <v>74</v>
      </c>
      <c r="I102" s="16" t="s">
        <v>72</v>
      </c>
    </row>
    <row r="103" spans="1:9" ht="15" customHeight="1">
      <c r="A103" s="1143" t="s">
        <v>325</v>
      </c>
      <c r="B103" s="1143"/>
      <c r="C103" s="1143"/>
      <c r="D103" s="1143" t="s">
        <v>45</v>
      </c>
      <c r="E103" s="1143"/>
      <c r="F103" s="1143"/>
      <c r="G103" s="16" t="s">
        <v>317</v>
      </c>
      <c r="H103" s="16" t="s">
        <v>318</v>
      </c>
      <c r="I103" s="16" t="s">
        <v>319</v>
      </c>
    </row>
    <row r="104" spans="1:9" ht="15" customHeight="1">
      <c r="A104" s="1143" t="s">
        <v>326</v>
      </c>
      <c r="B104" s="1143"/>
      <c r="C104" s="1143"/>
      <c r="D104" s="1143" t="s">
        <v>327</v>
      </c>
      <c r="E104" s="1143"/>
      <c r="F104" s="1143"/>
      <c r="G104" s="16" t="s">
        <v>328</v>
      </c>
      <c r="H104" s="16" t="s">
        <v>126</v>
      </c>
      <c r="I104" s="16" t="s">
        <v>127</v>
      </c>
    </row>
    <row r="105" spans="1:9" ht="15" customHeight="1">
      <c r="A105" s="1143" t="s">
        <v>329</v>
      </c>
      <c r="B105" s="1143"/>
      <c r="C105" s="1143"/>
      <c r="D105" s="1143" t="s">
        <v>330</v>
      </c>
      <c r="E105" s="1143"/>
      <c r="F105" s="1143"/>
      <c r="G105" s="16" t="s">
        <v>331</v>
      </c>
      <c r="H105" s="16" t="s">
        <v>332</v>
      </c>
      <c r="I105" s="16" t="s">
        <v>87</v>
      </c>
    </row>
    <row r="106" spans="1:9">
      <c r="A106" s="1143" t="s">
        <v>68</v>
      </c>
      <c r="B106" s="1143"/>
      <c r="C106" s="1143"/>
      <c r="D106" s="1143" t="s">
        <v>68</v>
      </c>
      <c r="E106" s="1143"/>
      <c r="F106" s="1143"/>
      <c r="G106" s="16" t="s">
        <v>68</v>
      </c>
      <c r="H106" s="16" t="s">
        <v>68</v>
      </c>
      <c r="I106" s="16" t="s">
        <v>68</v>
      </c>
    </row>
    <row r="107" spans="1:9">
      <c r="A107" s="1143" t="s">
        <v>333</v>
      </c>
      <c r="B107" s="1143"/>
      <c r="C107" s="1143"/>
      <c r="D107" s="1143" t="s">
        <v>68</v>
      </c>
      <c r="E107" s="1143"/>
      <c r="F107" s="1143"/>
      <c r="G107" s="16" t="s">
        <v>68</v>
      </c>
      <c r="H107" s="16" t="s">
        <v>68</v>
      </c>
      <c r="I107" s="16" t="s">
        <v>68</v>
      </c>
    </row>
    <row r="108" spans="1:9" ht="15" customHeight="1">
      <c r="A108" s="1143" t="s">
        <v>236</v>
      </c>
      <c r="B108" s="1143"/>
      <c r="C108" s="1143"/>
      <c r="D108" s="1143" t="s">
        <v>74</v>
      </c>
      <c r="E108" s="1143"/>
      <c r="F108" s="1143"/>
      <c r="G108" s="16" t="s">
        <v>75</v>
      </c>
      <c r="H108" s="16" t="s">
        <v>74</v>
      </c>
      <c r="I108" s="16" t="s">
        <v>72</v>
      </c>
    </row>
    <row r="109" spans="1:9" ht="15" customHeight="1">
      <c r="A109" s="1143" t="s">
        <v>334</v>
      </c>
      <c r="B109" s="1143"/>
      <c r="C109" s="1143"/>
      <c r="D109" s="1143" t="s">
        <v>335</v>
      </c>
      <c r="E109" s="1143"/>
      <c r="F109" s="1143"/>
      <c r="G109" s="16" t="s">
        <v>336</v>
      </c>
      <c r="H109" s="16" t="s">
        <v>337</v>
      </c>
      <c r="I109" s="16" t="s">
        <v>303</v>
      </c>
    </row>
    <row r="110" spans="1:9" ht="15" customHeight="1">
      <c r="A110" s="1143" t="s">
        <v>338</v>
      </c>
      <c r="B110" s="1143"/>
      <c r="C110" s="1143"/>
      <c r="D110" s="1143" t="s">
        <v>339</v>
      </c>
      <c r="E110" s="1143"/>
      <c r="F110" s="1143"/>
      <c r="G110" s="16" t="s">
        <v>340</v>
      </c>
      <c r="H110" s="16" t="s">
        <v>341</v>
      </c>
      <c r="I110" s="16" t="s">
        <v>319</v>
      </c>
    </row>
    <row r="111" spans="1:9" ht="15" customHeight="1">
      <c r="A111" s="1143" t="s">
        <v>342</v>
      </c>
      <c r="B111" s="1143"/>
      <c r="C111" s="1143"/>
      <c r="D111" s="1143" t="s">
        <v>343</v>
      </c>
      <c r="E111" s="1143"/>
      <c r="F111" s="1143"/>
      <c r="G111" s="16" t="s">
        <v>344</v>
      </c>
      <c r="H111" s="16" t="s">
        <v>341</v>
      </c>
      <c r="I111" s="16" t="s">
        <v>319</v>
      </c>
    </row>
    <row r="112" spans="1:9" ht="15" customHeight="1">
      <c r="A112" s="1143" t="s">
        <v>68</v>
      </c>
      <c r="B112" s="1143"/>
      <c r="C112" s="1143"/>
      <c r="D112" s="1143" t="s">
        <v>68</v>
      </c>
      <c r="E112" s="1143"/>
      <c r="F112" s="1143"/>
      <c r="G112" s="16" t="s">
        <v>68</v>
      </c>
      <c r="H112" s="16" t="s">
        <v>68</v>
      </c>
      <c r="I112" s="16" t="s">
        <v>68</v>
      </c>
    </row>
    <row r="113" spans="1:9" ht="15" customHeight="1">
      <c r="A113" s="1143" t="s">
        <v>345</v>
      </c>
      <c r="B113" s="1143"/>
      <c r="C113" s="1143"/>
      <c r="D113" s="1143" t="s">
        <v>68</v>
      </c>
      <c r="E113" s="1143"/>
      <c r="F113" s="1143"/>
      <c r="G113" s="16" t="s">
        <v>68</v>
      </c>
      <c r="H113" s="16" t="s">
        <v>68</v>
      </c>
      <c r="I113" s="16" t="s">
        <v>68</v>
      </c>
    </row>
    <row r="114" spans="1:9" ht="15" customHeight="1">
      <c r="A114" s="1143" t="s">
        <v>346</v>
      </c>
      <c r="B114" s="1143"/>
      <c r="C114" s="1143"/>
      <c r="D114" s="1143" t="s">
        <v>238</v>
      </c>
      <c r="E114" s="1143"/>
      <c r="F114" s="1143"/>
      <c r="G114" s="16" t="s">
        <v>239</v>
      </c>
      <c r="H114" s="16" t="s">
        <v>238</v>
      </c>
      <c r="I114" s="16" t="s">
        <v>72</v>
      </c>
    </row>
    <row r="115" spans="1:9" ht="15" customHeight="1">
      <c r="A115" s="1143" t="s">
        <v>347</v>
      </c>
      <c r="B115" s="1143"/>
      <c r="C115" s="1143"/>
      <c r="D115" s="1143" t="s">
        <v>348</v>
      </c>
      <c r="E115" s="1143"/>
      <c r="F115" s="1143"/>
      <c r="G115" s="16" t="s">
        <v>349</v>
      </c>
      <c r="H115" s="16" t="s">
        <v>350</v>
      </c>
      <c r="I115" s="16" t="s">
        <v>196</v>
      </c>
    </row>
    <row r="116" spans="1:9" ht="15" customHeight="1">
      <c r="A116" s="1143" t="s">
        <v>351</v>
      </c>
      <c r="B116" s="1143"/>
      <c r="C116" s="1143"/>
      <c r="D116" s="1143" t="s">
        <v>352</v>
      </c>
      <c r="E116" s="1143"/>
      <c r="F116" s="1143"/>
      <c r="G116" s="16" t="s">
        <v>353</v>
      </c>
      <c r="H116" s="16" t="s">
        <v>354</v>
      </c>
      <c r="I116" s="16" t="s">
        <v>275</v>
      </c>
    </row>
    <row r="117" spans="1:9" ht="15" customHeight="1">
      <c r="A117" s="1143" t="s">
        <v>355</v>
      </c>
      <c r="B117" s="1143"/>
      <c r="C117" s="1143"/>
      <c r="D117" s="1143" t="s">
        <v>356</v>
      </c>
      <c r="E117" s="1143"/>
      <c r="F117" s="1143"/>
      <c r="G117" s="16" t="s">
        <v>357</v>
      </c>
      <c r="H117" s="16" t="s">
        <v>358</v>
      </c>
      <c r="I117" s="16" t="s">
        <v>221</v>
      </c>
    </row>
    <row r="118" spans="1:9">
      <c r="A118" s="1143" t="s">
        <v>359</v>
      </c>
      <c r="B118" s="1143"/>
      <c r="C118" s="1143"/>
      <c r="D118" s="1143" t="s">
        <v>360</v>
      </c>
      <c r="E118" s="1143"/>
      <c r="F118" s="1143"/>
      <c r="G118" s="16" t="s">
        <v>361</v>
      </c>
      <c r="H118" s="16" t="s">
        <v>215</v>
      </c>
      <c r="I118" s="16" t="s">
        <v>226</v>
      </c>
    </row>
    <row r="119" spans="1:9" ht="15" customHeight="1">
      <c r="A119" s="1143" t="s">
        <v>362</v>
      </c>
      <c r="B119" s="1143"/>
      <c r="C119" s="1143"/>
      <c r="D119" s="1143" t="s">
        <v>363</v>
      </c>
      <c r="E119" s="1143"/>
      <c r="F119" s="1143"/>
      <c r="G119" s="16" t="s">
        <v>364</v>
      </c>
      <c r="H119" s="16" t="s">
        <v>365</v>
      </c>
      <c r="I119" s="16" t="s">
        <v>366</v>
      </c>
    </row>
    <row r="120" spans="1:9" ht="15" customHeight="1">
      <c r="A120" s="1143" t="s">
        <v>367</v>
      </c>
      <c r="B120" s="1143"/>
      <c r="C120" s="1143"/>
      <c r="D120" s="1143" t="s">
        <v>368</v>
      </c>
      <c r="E120" s="1143"/>
      <c r="F120" s="1143"/>
      <c r="G120" s="16" t="s">
        <v>369</v>
      </c>
      <c r="H120" s="16" t="s">
        <v>370</v>
      </c>
      <c r="I120" s="16" t="s">
        <v>371</v>
      </c>
    </row>
    <row r="121" spans="1:9" ht="15" customHeight="1">
      <c r="A121" s="1143" t="s">
        <v>372</v>
      </c>
      <c r="B121" s="1143"/>
      <c r="C121" s="1143"/>
      <c r="D121" s="1143" t="s">
        <v>373</v>
      </c>
      <c r="E121" s="1143"/>
      <c r="F121" s="1143"/>
      <c r="G121" s="16" t="s">
        <v>374</v>
      </c>
      <c r="H121" s="16" t="s">
        <v>375</v>
      </c>
      <c r="I121" s="16" t="s">
        <v>376</v>
      </c>
    </row>
    <row r="122" spans="1:9" ht="15" customHeight="1">
      <c r="A122" s="1143" t="s">
        <v>377</v>
      </c>
      <c r="B122" s="1143"/>
      <c r="C122" s="1143"/>
      <c r="D122" s="1143" t="s">
        <v>45</v>
      </c>
      <c r="E122" s="1143"/>
      <c r="F122" s="1143"/>
      <c r="G122" s="16" t="s">
        <v>317</v>
      </c>
      <c r="H122" s="16" t="s">
        <v>318</v>
      </c>
      <c r="I122" s="16" t="s">
        <v>122</v>
      </c>
    </row>
    <row r="123" spans="1:9">
      <c r="A123" s="1143" t="s">
        <v>378</v>
      </c>
      <c r="B123" s="1143"/>
      <c r="C123" s="1143"/>
      <c r="D123" s="1143" t="s">
        <v>379</v>
      </c>
      <c r="E123" s="1143"/>
      <c r="F123" s="1143"/>
      <c r="G123" s="16" t="s">
        <v>380</v>
      </c>
      <c r="H123" s="16" t="s">
        <v>72</v>
      </c>
      <c r="I123" s="16" t="s">
        <v>72</v>
      </c>
    </row>
    <row r="124" spans="1:9" ht="15" customHeight="1">
      <c r="A124" s="1143" t="s">
        <v>68</v>
      </c>
      <c r="B124" s="1143"/>
      <c r="C124" s="1143"/>
      <c r="D124" s="1143" t="s">
        <v>68</v>
      </c>
      <c r="E124" s="1143"/>
      <c r="F124" s="1143"/>
      <c r="G124" s="16" t="s">
        <v>68</v>
      </c>
      <c r="H124" s="16" t="s">
        <v>68</v>
      </c>
      <c r="I124" s="16" t="s">
        <v>68</v>
      </c>
    </row>
    <row r="125" spans="1:9" ht="15" customHeight="1">
      <c r="A125" s="1143" t="s">
        <v>381</v>
      </c>
      <c r="B125" s="1143"/>
      <c r="C125" s="1143"/>
      <c r="D125" s="1143" t="s">
        <v>68</v>
      </c>
      <c r="E125" s="1143"/>
      <c r="F125" s="1143"/>
      <c r="G125" s="16" t="s">
        <v>68</v>
      </c>
      <c r="H125" s="16" t="s">
        <v>68</v>
      </c>
      <c r="I125" s="16" t="s">
        <v>68</v>
      </c>
    </row>
    <row r="126" spans="1:9" ht="15" customHeight="1">
      <c r="A126" s="1143" t="s">
        <v>346</v>
      </c>
      <c r="B126" s="1143"/>
      <c r="C126" s="1143"/>
      <c r="D126" s="1143" t="s">
        <v>238</v>
      </c>
      <c r="E126" s="1143"/>
      <c r="F126" s="1143"/>
      <c r="G126" s="16" t="s">
        <v>239</v>
      </c>
      <c r="H126" s="16" t="s">
        <v>238</v>
      </c>
      <c r="I126" s="16" t="s">
        <v>72</v>
      </c>
    </row>
    <row r="127" spans="1:9" ht="15" customHeight="1">
      <c r="A127" s="1143" t="s">
        <v>382</v>
      </c>
      <c r="B127" s="1143"/>
      <c r="C127" s="1143"/>
      <c r="D127" s="1143" t="s">
        <v>383</v>
      </c>
      <c r="E127" s="1143"/>
      <c r="F127" s="1143"/>
      <c r="G127" s="16" t="s">
        <v>384</v>
      </c>
      <c r="H127" s="16" t="s">
        <v>385</v>
      </c>
      <c r="I127" s="16" t="s">
        <v>386</v>
      </c>
    </row>
    <row r="128" spans="1:9" ht="15" customHeight="1">
      <c r="A128" s="1143" t="s">
        <v>387</v>
      </c>
      <c r="B128" s="1143"/>
      <c r="C128" s="1143"/>
      <c r="D128" s="1143" t="s">
        <v>388</v>
      </c>
      <c r="E128" s="1143"/>
      <c r="F128" s="1143"/>
      <c r="G128" s="16" t="s">
        <v>157</v>
      </c>
      <c r="H128" s="16" t="s">
        <v>389</v>
      </c>
      <c r="I128" s="16" t="s">
        <v>386</v>
      </c>
    </row>
    <row r="129" spans="1:9" ht="15" customHeight="1">
      <c r="A129" s="1143" t="s">
        <v>68</v>
      </c>
      <c r="B129" s="1143"/>
      <c r="C129" s="1143"/>
      <c r="D129" s="1143" t="s">
        <v>68</v>
      </c>
      <c r="E129" s="1143"/>
      <c r="F129" s="1143"/>
      <c r="G129" s="16" t="s">
        <v>68</v>
      </c>
      <c r="H129" s="16" t="s">
        <v>68</v>
      </c>
      <c r="I129" s="16" t="s">
        <v>68</v>
      </c>
    </row>
    <row r="130" spans="1:9" ht="15" customHeight="1">
      <c r="A130" s="1143" t="s">
        <v>390</v>
      </c>
      <c r="B130" s="1143"/>
      <c r="C130" s="1143"/>
      <c r="D130" s="1143" t="s">
        <v>68</v>
      </c>
      <c r="E130" s="1143"/>
      <c r="F130" s="1143"/>
      <c r="G130" s="16" t="s">
        <v>68</v>
      </c>
      <c r="H130" s="16" t="s">
        <v>68</v>
      </c>
      <c r="I130" s="16" t="s">
        <v>68</v>
      </c>
    </row>
    <row r="131" spans="1:9" ht="15" customHeight="1">
      <c r="A131" s="1143" t="s">
        <v>391</v>
      </c>
      <c r="B131" s="1143"/>
      <c r="C131" s="1143"/>
      <c r="D131" s="1143" t="s">
        <v>383</v>
      </c>
      <c r="E131" s="1143"/>
      <c r="F131" s="1143"/>
      <c r="G131" s="16" t="s">
        <v>384</v>
      </c>
      <c r="H131" s="16" t="s">
        <v>383</v>
      </c>
      <c r="I131" s="16" t="s">
        <v>72</v>
      </c>
    </row>
    <row r="132" spans="1:9" ht="15" customHeight="1">
      <c r="A132" s="1143" t="s">
        <v>392</v>
      </c>
      <c r="B132" s="1143"/>
      <c r="C132" s="1143"/>
      <c r="D132" s="1143" t="s">
        <v>45</v>
      </c>
      <c r="E132" s="1143"/>
      <c r="F132" s="1143"/>
      <c r="G132" s="16" t="s">
        <v>317</v>
      </c>
      <c r="H132" s="16" t="s">
        <v>318</v>
      </c>
      <c r="I132" s="16" t="s">
        <v>117</v>
      </c>
    </row>
    <row r="133" spans="1:9" ht="15" customHeight="1">
      <c r="A133" s="1143" t="s">
        <v>393</v>
      </c>
      <c r="B133" s="1143"/>
      <c r="C133" s="1143"/>
      <c r="D133" s="1143" t="s">
        <v>394</v>
      </c>
      <c r="E133" s="1143"/>
      <c r="F133" s="1143"/>
      <c r="G133" s="16" t="s">
        <v>395</v>
      </c>
      <c r="H133" s="16" t="s">
        <v>396</v>
      </c>
      <c r="I133" s="16" t="s">
        <v>84</v>
      </c>
    </row>
    <row r="134" spans="1:9">
      <c r="A134" s="1143" t="s">
        <v>397</v>
      </c>
      <c r="B134" s="1143"/>
      <c r="C134" s="1143"/>
      <c r="D134" s="1143" t="s">
        <v>398</v>
      </c>
      <c r="E134" s="1143"/>
      <c r="F134" s="1143"/>
      <c r="G134" s="16" t="s">
        <v>399</v>
      </c>
      <c r="H134" s="16" t="s">
        <v>400</v>
      </c>
      <c r="I134" s="16" t="s">
        <v>401</v>
      </c>
    </row>
    <row r="135" spans="1:9" ht="15" customHeight="1">
      <c r="A135" s="1143" t="s">
        <v>402</v>
      </c>
      <c r="B135" s="1143"/>
      <c r="C135" s="1143"/>
      <c r="D135" s="1143" t="s">
        <v>403</v>
      </c>
      <c r="E135" s="1143"/>
      <c r="F135" s="1143"/>
      <c r="G135" s="16" t="s">
        <v>404</v>
      </c>
      <c r="H135" s="16" t="s">
        <v>405</v>
      </c>
      <c r="I135" s="16" t="s">
        <v>406</v>
      </c>
    </row>
    <row r="136" spans="1:9" ht="15" customHeight="1">
      <c r="A136" s="1143" t="s">
        <v>407</v>
      </c>
      <c r="B136" s="1143"/>
      <c r="C136" s="1143"/>
      <c r="D136" s="1143" t="s">
        <v>408</v>
      </c>
      <c r="E136" s="1143"/>
      <c r="F136" s="1143"/>
      <c r="G136" s="16" t="s">
        <v>409</v>
      </c>
      <c r="H136" s="16" t="s">
        <v>410</v>
      </c>
      <c r="I136" s="16" t="s">
        <v>411</v>
      </c>
    </row>
    <row r="137" spans="1:9" ht="15" customHeight="1">
      <c r="A137" s="1143" t="s">
        <v>412</v>
      </c>
      <c r="B137" s="1143"/>
      <c r="C137" s="1143"/>
      <c r="D137" s="1143" t="s">
        <v>413</v>
      </c>
      <c r="E137" s="1143"/>
      <c r="F137" s="1143"/>
      <c r="G137" s="16" t="s">
        <v>414</v>
      </c>
      <c r="H137" s="16" t="s">
        <v>415</v>
      </c>
      <c r="I137" s="16" t="s">
        <v>416</v>
      </c>
    </row>
    <row r="138" spans="1:9" ht="15" customHeight="1">
      <c r="A138" s="1143" t="s">
        <v>417</v>
      </c>
      <c r="B138" s="1143"/>
      <c r="C138" s="1143"/>
      <c r="D138" s="1143" t="s">
        <v>408</v>
      </c>
      <c r="E138" s="1143"/>
      <c r="F138" s="1143"/>
      <c r="G138" s="16" t="s">
        <v>233</v>
      </c>
      <c r="H138" s="16" t="s">
        <v>410</v>
      </c>
      <c r="I138" s="16" t="s">
        <v>418</v>
      </c>
    </row>
    <row r="139" spans="1:9" ht="15" customHeight="1">
      <c r="A139" s="1143" t="s">
        <v>378</v>
      </c>
      <c r="B139" s="1143"/>
      <c r="C139" s="1143"/>
      <c r="D139" s="1143" t="s">
        <v>419</v>
      </c>
      <c r="E139" s="1143"/>
      <c r="F139" s="1143"/>
      <c r="G139" s="16" t="s">
        <v>420</v>
      </c>
      <c r="H139" s="16" t="s">
        <v>72</v>
      </c>
      <c r="I139" s="16" t="s">
        <v>72</v>
      </c>
    </row>
    <row r="140" spans="1:9" ht="15" customHeight="1">
      <c r="A140" s="1143" t="s">
        <v>68</v>
      </c>
      <c r="B140" s="1143"/>
      <c r="C140" s="1143"/>
      <c r="D140" s="1143" t="s">
        <v>68</v>
      </c>
      <c r="E140" s="1143"/>
      <c r="F140" s="1143"/>
      <c r="G140" s="16" t="s">
        <v>68</v>
      </c>
      <c r="H140" s="16" t="s">
        <v>68</v>
      </c>
      <c r="I140" s="16" t="s">
        <v>68</v>
      </c>
    </row>
    <row r="141" spans="1:9" ht="15" customHeight="1">
      <c r="A141" s="1143" t="s">
        <v>421</v>
      </c>
      <c r="B141" s="1143"/>
      <c r="C141" s="1143"/>
      <c r="D141" s="1143" t="s">
        <v>388</v>
      </c>
      <c r="E141" s="1143"/>
      <c r="F141" s="1143"/>
      <c r="G141" s="16" t="s">
        <v>157</v>
      </c>
      <c r="H141" s="16" t="s">
        <v>388</v>
      </c>
      <c r="I141" s="16" t="s">
        <v>72</v>
      </c>
    </row>
    <row r="142" spans="1:9">
      <c r="A142" s="1143" t="s">
        <v>422</v>
      </c>
      <c r="B142" s="1143"/>
      <c r="C142" s="1143"/>
      <c r="D142" s="1143" t="s">
        <v>45</v>
      </c>
      <c r="E142" s="1143"/>
      <c r="F142" s="1143"/>
      <c r="G142" s="16" t="s">
        <v>317</v>
      </c>
      <c r="H142" s="16" t="s">
        <v>318</v>
      </c>
      <c r="I142" s="16" t="s">
        <v>113</v>
      </c>
    </row>
    <row r="143" spans="1:9" ht="15" customHeight="1">
      <c r="A143" s="1143" t="s">
        <v>423</v>
      </c>
      <c r="B143" s="1143"/>
      <c r="C143" s="1143"/>
      <c r="D143" s="1143" t="s">
        <v>424</v>
      </c>
      <c r="E143" s="1143"/>
      <c r="F143" s="1143"/>
      <c r="G143" s="16" t="s">
        <v>425</v>
      </c>
      <c r="H143" s="16" t="s">
        <v>274</v>
      </c>
      <c r="I143" s="16" t="s">
        <v>113</v>
      </c>
    </row>
    <row r="144" spans="1:9" ht="15" customHeight="1">
      <c r="A144" s="1143" t="s">
        <v>426</v>
      </c>
      <c r="B144" s="1143"/>
      <c r="C144" s="1143"/>
      <c r="D144" s="1143" t="s">
        <v>427</v>
      </c>
      <c r="E144" s="1143"/>
      <c r="F144" s="1143"/>
      <c r="G144" s="16" t="s">
        <v>428</v>
      </c>
      <c r="H144" s="16" t="s">
        <v>429</v>
      </c>
      <c r="I144" s="16" t="s">
        <v>430</v>
      </c>
    </row>
    <row r="145" spans="1:9" ht="15" customHeight="1">
      <c r="A145" s="1143" t="s">
        <v>431</v>
      </c>
      <c r="B145" s="1143"/>
      <c r="C145" s="1143"/>
      <c r="D145" s="1143" t="s">
        <v>432</v>
      </c>
      <c r="E145" s="1143"/>
      <c r="F145" s="1143"/>
      <c r="G145" s="16" t="s">
        <v>433</v>
      </c>
      <c r="H145" s="16" t="s">
        <v>434</v>
      </c>
      <c r="I145" s="16" t="s">
        <v>435</v>
      </c>
    </row>
    <row r="146" spans="1:9" ht="15" customHeight="1">
      <c r="A146" s="1143" t="s">
        <v>436</v>
      </c>
      <c r="B146" s="1143"/>
      <c r="C146" s="1143"/>
      <c r="D146" s="1143" t="s">
        <v>437</v>
      </c>
      <c r="E146" s="1143"/>
      <c r="F146" s="1143"/>
      <c r="G146" s="16" t="s">
        <v>438</v>
      </c>
      <c r="H146" s="16" t="s">
        <v>439</v>
      </c>
      <c r="I146" s="16" t="s">
        <v>440</v>
      </c>
    </row>
    <row r="147" spans="1:9" ht="15" customHeight="1">
      <c r="A147" s="1143" t="s">
        <v>378</v>
      </c>
      <c r="B147" s="1143"/>
      <c r="C147" s="1143"/>
      <c r="D147" s="1143" t="s">
        <v>441</v>
      </c>
      <c r="E147" s="1143"/>
      <c r="F147" s="1143"/>
      <c r="G147" s="16" t="s">
        <v>442</v>
      </c>
      <c r="H147" s="16" t="s">
        <v>72</v>
      </c>
      <c r="I147" s="16" t="s">
        <v>72</v>
      </c>
    </row>
    <row r="148" spans="1:9" ht="15" customHeight="1">
      <c r="A148" s="1143" t="s">
        <v>68</v>
      </c>
      <c r="B148" s="1143"/>
      <c r="C148" s="1143"/>
      <c r="D148" s="1143" t="s">
        <v>68</v>
      </c>
      <c r="E148" s="1143"/>
      <c r="F148" s="1143"/>
      <c r="G148" s="16" t="s">
        <v>68</v>
      </c>
      <c r="H148" s="16" t="s">
        <v>68</v>
      </c>
      <c r="I148" s="16" t="s">
        <v>68</v>
      </c>
    </row>
    <row r="149" spans="1:9" ht="15" customHeight="1">
      <c r="A149" s="1143" t="s">
        <v>443</v>
      </c>
      <c r="B149" s="1143"/>
      <c r="C149" s="1143"/>
      <c r="D149" s="1143" t="s">
        <v>68</v>
      </c>
      <c r="E149" s="1143"/>
      <c r="F149" s="1143"/>
      <c r="G149" s="16" t="s">
        <v>68</v>
      </c>
      <c r="H149" s="16" t="s">
        <v>68</v>
      </c>
      <c r="I149" s="16" t="s">
        <v>68</v>
      </c>
    </row>
    <row r="150" spans="1:9">
      <c r="A150" s="1143" t="s">
        <v>444</v>
      </c>
      <c r="B150" s="1143"/>
      <c r="C150" s="1143"/>
      <c r="D150" s="1143" t="s">
        <v>383</v>
      </c>
      <c r="E150" s="1143"/>
      <c r="F150" s="1143"/>
      <c r="G150" s="16" t="s">
        <v>384</v>
      </c>
      <c r="H150" s="16" t="s">
        <v>383</v>
      </c>
      <c r="I150" s="16" t="s">
        <v>72</v>
      </c>
    </row>
    <row r="151" spans="1:9" ht="15" customHeight="1">
      <c r="A151" s="1143" t="s">
        <v>445</v>
      </c>
      <c r="B151" s="1143"/>
      <c r="C151" s="1143"/>
      <c r="D151" s="1143" t="s">
        <v>446</v>
      </c>
      <c r="E151" s="1143"/>
      <c r="F151" s="1143"/>
      <c r="G151" s="16" t="s">
        <v>447</v>
      </c>
      <c r="H151" s="16" t="s">
        <v>448</v>
      </c>
      <c r="I151" s="16" t="s">
        <v>449</v>
      </c>
    </row>
    <row r="152" spans="1:9">
      <c r="A152" s="1143" t="s">
        <v>450</v>
      </c>
      <c r="B152" s="1143"/>
      <c r="C152" s="1143"/>
      <c r="D152" s="1143" t="s">
        <v>451</v>
      </c>
      <c r="E152" s="1143"/>
      <c r="F152" s="1143"/>
      <c r="G152" s="16" t="s">
        <v>452</v>
      </c>
      <c r="H152" s="16" t="s">
        <v>453</v>
      </c>
      <c r="I152" s="16" t="s">
        <v>416</v>
      </c>
    </row>
    <row r="153" spans="1:9" ht="15" customHeight="1">
      <c r="A153" s="1143" t="s">
        <v>454</v>
      </c>
      <c r="B153" s="1143"/>
      <c r="C153" s="1143"/>
      <c r="D153" s="1143" t="s">
        <v>455</v>
      </c>
      <c r="E153" s="1143"/>
      <c r="F153" s="1143"/>
      <c r="G153" s="16" t="s">
        <v>456</v>
      </c>
      <c r="H153" s="16" t="s">
        <v>457</v>
      </c>
      <c r="I153" s="16" t="s">
        <v>458</v>
      </c>
    </row>
    <row r="154" spans="1:9" ht="15" customHeight="1">
      <c r="A154" s="1143" t="s">
        <v>459</v>
      </c>
      <c r="B154" s="1143"/>
      <c r="C154" s="1143"/>
      <c r="D154" s="1143" t="s">
        <v>460</v>
      </c>
      <c r="E154" s="1143"/>
      <c r="F154" s="1143"/>
      <c r="G154" s="16" t="s">
        <v>461</v>
      </c>
      <c r="H154" s="16" t="s">
        <v>462</v>
      </c>
      <c r="I154" s="16" t="s">
        <v>216</v>
      </c>
    </row>
    <row r="155" spans="1:9" ht="15" customHeight="1">
      <c r="A155" s="1143" t="s">
        <v>463</v>
      </c>
      <c r="B155" s="1143"/>
      <c r="C155" s="1143"/>
      <c r="D155" s="1143" t="s">
        <v>464</v>
      </c>
      <c r="E155" s="1143"/>
      <c r="F155" s="1143"/>
      <c r="G155" s="16" t="s">
        <v>161</v>
      </c>
      <c r="H155" s="16" t="s">
        <v>465</v>
      </c>
      <c r="I155" s="16" t="s">
        <v>466</v>
      </c>
    </row>
    <row r="156" spans="1:9" ht="15" customHeight="1">
      <c r="A156" s="1143" t="s">
        <v>68</v>
      </c>
      <c r="B156" s="1143"/>
      <c r="C156" s="1143"/>
      <c r="D156" s="1143" t="s">
        <v>68</v>
      </c>
      <c r="E156" s="1143"/>
      <c r="F156" s="1143"/>
      <c r="G156" s="16" t="s">
        <v>68</v>
      </c>
      <c r="H156" s="16" t="s">
        <v>68</v>
      </c>
      <c r="I156" s="16" t="s">
        <v>68</v>
      </c>
    </row>
    <row r="157" spans="1:9" ht="15" customHeight="1">
      <c r="A157" s="1143" t="s">
        <v>467</v>
      </c>
      <c r="B157" s="1143"/>
      <c r="C157" s="1143"/>
      <c r="D157" s="1143" t="s">
        <v>45</v>
      </c>
      <c r="E157" s="1143"/>
      <c r="F157" s="1143"/>
      <c r="G157" s="16" t="s">
        <v>317</v>
      </c>
      <c r="H157" s="16" t="s">
        <v>72</v>
      </c>
      <c r="I157" s="16" t="s">
        <v>72</v>
      </c>
    </row>
    <row r="158" spans="1:9" ht="15" customHeight="1">
      <c r="A158" s="1143" t="s">
        <v>68</v>
      </c>
      <c r="B158" s="1143"/>
      <c r="C158" s="1143"/>
      <c r="D158" s="1143" t="s">
        <v>68</v>
      </c>
      <c r="E158" s="1143"/>
      <c r="F158" s="1143"/>
      <c r="G158" s="16" t="s">
        <v>68</v>
      </c>
      <c r="H158" s="16" t="s">
        <v>68</v>
      </c>
      <c r="I158" s="16" t="s">
        <v>68</v>
      </c>
    </row>
    <row r="159" spans="1:9" ht="15" customHeight="1">
      <c r="A159" s="1143" t="s">
        <v>468</v>
      </c>
      <c r="B159" s="1143"/>
      <c r="C159" s="1143"/>
      <c r="D159" s="1143" t="s">
        <v>388</v>
      </c>
      <c r="E159" s="1143"/>
      <c r="F159" s="1143"/>
      <c r="G159" s="16" t="s">
        <v>157</v>
      </c>
      <c r="H159" s="16" t="s">
        <v>388</v>
      </c>
      <c r="I159" s="16" t="s">
        <v>72</v>
      </c>
    </row>
    <row r="160" spans="1:9" ht="15" customHeight="1">
      <c r="A160" s="1143" t="s">
        <v>469</v>
      </c>
      <c r="B160" s="1143"/>
      <c r="C160" s="1143"/>
      <c r="D160" s="1143" t="s">
        <v>470</v>
      </c>
      <c r="E160" s="1143"/>
      <c r="F160" s="1143"/>
      <c r="G160" s="16" t="s">
        <v>471</v>
      </c>
      <c r="H160" s="16" t="s">
        <v>472</v>
      </c>
      <c r="I160" s="16" t="s">
        <v>473</v>
      </c>
    </row>
    <row r="161" spans="1:9">
      <c r="A161" s="1143" t="s">
        <v>474</v>
      </c>
      <c r="B161" s="1143"/>
      <c r="C161" s="1143"/>
      <c r="D161" s="1143" t="s">
        <v>475</v>
      </c>
      <c r="E161" s="1143"/>
      <c r="F161" s="1143"/>
      <c r="G161" s="16" t="s">
        <v>442</v>
      </c>
      <c r="H161" s="16" t="s">
        <v>476</v>
      </c>
      <c r="I161" s="16" t="s">
        <v>216</v>
      </c>
    </row>
    <row r="162" spans="1:9" ht="15" customHeight="1">
      <c r="A162" s="1143" t="s">
        <v>477</v>
      </c>
      <c r="B162" s="1143"/>
      <c r="C162" s="1143"/>
      <c r="D162" s="1143" t="s">
        <v>478</v>
      </c>
      <c r="E162" s="1143"/>
      <c r="F162" s="1143"/>
      <c r="G162" s="16" t="s">
        <v>479</v>
      </c>
      <c r="H162" s="16" t="s">
        <v>480</v>
      </c>
      <c r="I162" s="16" t="s">
        <v>481</v>
      </c>
    </row>
    <row r="163" spans="1:9">
      <c r="A163" s="1143" t="s">
        <v>450</v>
      </c>
      <c r="B163" s="1143"/>
      <c r="C163" s="1143"/>
      <c r="D163" s="1143" t="s">
        <v>482</v>
      </c>
      <c r="E163" s="1143"/>
      <c r="F163" s="1143"/>
      <c r="G163" s="16" t="s">
        <v>483</v>
      </c>
      <c r="H163" s="16" t="s">
        <v>484</v>
      </c>
      <c r="I163" s="16" t="s">
        <v>77</v>
      </c>
    </row>
    <row r="164" spans="1:9" ht="15" customHeight="1">
      <c r="A164" s="1143" t="s">
        <v>454</v>
      </c>
      <c r="B164" s="1143"/>
      <c r="C164" s="1143"/>
      <c r="D164" s="1143" t="s">
        <v>485</v>
      </c>
      <c r="E164" s="1143"/>
      <c r="F164" s="1143"/>
      <c r="G164" s="16" t="s">
        <v>486</v>
      </c>
      <c r="H164" s="16" t="s">
        <v>487</v>
      </c>
      <c r="I164" s="16" t="s">
        <v>488</v>
      </c>
    </row>
    <row r="165" spans="1:9" ht="15" customHeight="1">
      <c r="A165" s="1143" t="s">
        <v>459</v>
      </c>
      <c r="B165" s="1143"/>
      <c r="C165" s="1143"/>
      <c r="D165" s="1143" t="s">
        <v>489</v>
      </c>
      <c r="E165" s="1143"/>
      <c r="F165" s="1143"/>
      <c r="G165" s="16" t="s">
        <v>490</v>
      </c>
      <c r="H165" s="16" t="s">
        <v>491</v>
      </c>
      <c r="I165" s="16" t="s">
        <v>205</v>
      </c>
    </row>
    <row r="166" spans="1:9" ht="15" customHeight="1">
      <c r="A166" s="1143" t="s">
        <v>463</v>
      </c>
      <c r="B166" s="1143"/>
      <c r="C166" s="1143"/>
      <c r="D166" s="1143" t="s">
        <v>348</v>
      </c>
      <c r="E166" s="1143"/>
      <c r="F166" s="1143"/>
      <c r="G166" s="16" t="s">
        <v>349</v>
      </c>
      <c r="H166" s="16" t="s">
        <v>492</v>
      </c>
      <c r="I166" s="16" t="s">
        <v>416</v>
      </c>
    </row>
    <row r="167" spans="1:9" ht="15" customHeight="1">
      <c r="A167" s="1143" t="s">
        <v>68</v>
      </c>
      <c r="B167" s="1143"/>
      <c r="C167" s="1143"/>
      <c r="D167" s="1143" t="s">
        <v>68</v>
      </c>
      <c r="E167" s="1143"/>
      <c r="F167" s="1143"/>
      <c r="G167" s="16" t="s">
        <v>68</v>
      </c>
      <c r="H167" s="16" t="s">
        <v>68</v>
      </c>
      <c r="I167" s="16" t="s">
        <v>68</v>
      </c>
    </row>
    <row r="168" spans="1:9" ht="15" customHeight="1">
      <c r="A168" s="1143" t="s">
        <v>467</v>
      </c>
      <c r="B168" s="1143"/>
      <c r="C168" s="1143"/>
      <c r="D168" s="1143" t="s">
        <v>45</v>
      </c>
      <c r="E168" s="1143"/>
      <c r="F168" s="1143"/>
      <c r="G168" s="16" t="s">
        <v>317</v>
      </c>
      <c r="H168" s="16" t="s">
        <v>72</v>
      </c>
      <c r="I168" s="16" t="s">
        <v>72</v>
      </c>
    </row>
    <row r="169" spans="1:9" ht="15" customHeight="1">
      <c r="A169" s="1143" t="s">
        <v>68</v>
      </c>
      <c r="B169" s="1143"/>
      <c r="C169" s="1143"/>
      <c r="D169" s="1143" t="s">
        <v>68</v>
      </c>
      <c r="E169" s="1143"/>
      <c r="F169" s="1143"/>
      <c r="G169" s="16" t="s">
        <v>68</v>
      </c>
      <c r="H169" s="16" t="s">
        <v>68</v>
      </c>
      <c r="I169" s="16" t="s">
        <v>68</v>
      </c>
    </row>
    <row r="170" spans="1:9" ht="15" customHeight="1">
      <c r="A170" s="1143" t="s">
        <v>493</v>
      </c>
      <c r="B170" s="1143"/>
      <c r="C170" s="1143"/>
      <c r="D170" s="1143" t="s">
        <v>68</v>
      </c>
      <c r="E170" s="1143"/>
      <c r="F170" s="1143"/>
      <c r="G170" s="16" t="s">
        <v>68</v>
      </c>
      <c r="H170" s="16" t="s">
        <v>68</v>
      </c>
      <c r="I170" s="16" t="s">
        <v>68</v>
      </c>
    </row>
    <row r="171" spans="1:9" ht="15" customHeight="1">
      <c r="A171" s="1143" t="s">
        <v>494</v>
      </c>
      <c r="B171" s="1143"/>
      <c r="C171" s="1143"/>
      <c r="D171" s="1143" t="s">
        <v>495</v>
      </c>
      <c r="E171" s="1143"/>
      <c r="F171" s="1143"/>
      <c r="G171" s="16" t="s">
        <v>496</v>
      </c>
      <c r="H171" s="16" t="s">
        <v>495</v>
      </c>
      <c r="I171" s="16" t="s">
        <v>72</v>
      </c>
    </row>
    <row r="172" spans="1:9" ht="15" customHeight="1">
      <c r="A172" s="1143" t="s">
        <v>497</v>
      </c>
      <c r="B172" s="1143"/>
      <c r="C172" s="1143"/>
      <c r="D172" s="1143" t="s">
        <v>45</v>
      </c>
      <c r="E172" s="1143"/>
      <c r="F172" s="1143"/>
      <c r="G172" s="16" t="s">
        <v>317</v>
      </c>
      <c r="H172" s="16" t="s">
        <v>318</v>
      </c>
      <c r="I172" s="16" t="s">
        <v>498</v>
      </c>
    </row>
    <row r="173" spans="1:9" ht="15" customHeight="1">
      <c r="A173" s="1143" t="s">
        <v>426</v>
      </c>
      <c r="B173" s="1143"/>
      <c r="C173" s="1143"/>
      <c r="D173" s="1143" t="s">
        <v>499</v>
      </c>
      <c r="E173" s="1143"/>
      <c r="F173" s="1143"/>
      <c r="G173" s="16" t="s">
        <v>500</v>
      </c>
      <c r="H173" s="16" t="s">
        <v>501</v>
      </c>
      <c r="I173" s="16" t="s">
        <v>275</v>
      </c>
    </row>
    <row r="174" spans="1:9">
      <c r="A174" s="1143" t="s">
        <v>393</v>
      </c>
      <c r="B174" s="1143"/>
      <c r="C174" s="1143"/>
      <c r="D174" s="1143" t="s">
        <v>502</v>
      </c>
      <c r="E174" s="1143"/>
      <c r="F174" s="1143"/>
      <c r="G174" s="16" t="s">
        <v>503</v>
      </c>
      <c r="H174" s="16" t="s">
        <v>504</v>
      </c>
      <c r="I174" s="16" t="s">
        <v>205</v>
      </c>
    </row>
    <row r="175" spans="1:9" ht="15" customHeight="1">
      <c r="A175" s="1143" t="s">
        <v>505</v>
      </c>
      <c r="B175" s="1143"/>
      <c r="C175" s="1143"/>
      <c r="D175" s="1143" t="s">
        <v>506</v>
      </c>
      <c r="E175" s="1143"/>
      <c r="F175" s="1143"/>
      <c r="G175" s="16" t="s">
        <v>507</v>
      </c>
      <c r="H175" s="16" t="s">
        <v>508</v>
      </c>
      <c r="I175" s="16" t="s">
        <v>488</v>
      </c>
    </row>
    <row r="176" spans="1:9">
      <c r="A176" s="1143" t="s">
        <v>509</v>
      </c>
      <c r="B176" s="1143"/>
      <c r="C176" s="1143"/>
      <c r="D176" s="1143" t="s">
        <v>510</v>
      </c>
      <c r="E176" s="1143"/>
      <c r="F176" s="1143"/>
      <c r="G176" s="16" t="s">
        <v>511</v>
      </c>
      <c r="H176" s="16" t="s">
        <v>512</v>
      </c>
      <c r="I176" s="16" t="s">
        <v>513</v>
      </c>
    </row>
    <row r="177" spans="1:9" ht="15" customHeight="1">
      <c r="A177" s="1143" t="s">
        <v>407</v>
      </c>
      <c r="B177" s="1143"/>
      <c r="C177" s="1143"/>
      <c r="D177" s="1143" t="s">
        <v>514</v>
      </c>
      <c r="E177" s="1143"/>
      <c r="F177" s="1143"/>
      <c r="G177" s="16" t="s">
        <v>515</v>
      </c>
      <c r="H177" s="16" t="s">
        <v>516</v>
      </c>
      <c r="I177" s="16" t="s">
        <v>401</v>
      </c>
    </row>
    <row r="178" spans="1:9" ht="15" customHeight="1">
      <c r="A178" s="1143" t="s">
        <v>517</v>
      </c>
      <c r="B178" s="1143"/>
      <c r="C178" s="1143"/>
      <c r="D178" s="1143" t="s">
        <v>518</v>
      </c>
      <c r="E178" s="1143"/>
      <c r="F178" s="1143"/>
      <c r="G178" s="16" t="s">
        <v>519</v>
      </c>
      <c r="H178" s="16" t="s">
        <v>195</v>
      </c>
      <c r="I178" s="16" t="s">
        <v>376</v>
      </c>
    </row>
    <row r="179" spans="1:9" ht="15" customHeight="1">
      <c r="A179" s="1143" t="s">
        <v>378</v>
      </c>
      <c r="B179" s="1143"/>
      <c r="C179" s="1143"/>
      <c r="D179" s="1143" t="s">
        <v>520</v>
      </c>
      <c r="E179" s="1143"/>
      <c r="F179" s="1143"/>
      <c r="G179" s="16" t="s">
        <v>521</v>
      </c>
      <c r="H179" s="16" t="s">
        <v>72</v>
      </c>
      <c r="I179" s="16" t="s">
        <v>72</v>
      </c>
    </row>
    <row r="180" spans="1:9" ht="15" customHeight="1">
      <c r="A180" s="1143" t="s">
        <v>68</v>
      </c>
      <c r="B180" s="1143"/>
      <c r="C180" s="1143"/>
      <c r="D180" s="1143" t="s">
        <v>68</v>
      </c>
      <c r="E180" s="1143"/>
      <c r="F180" s="1143"/>
      <c r="G180" s="16" t="s">
        <v>68</v>
      </c>
      <c r="H180" s="16" t="s">
        <v>68</v>
      </c>
      <c r="I180" s="16" t="s">
        <v>68</v>
      </c>
    </row>
    <row r="181" spans="1:9" ht="15" customHeight="1">
      <c r="A181" s="1143" t="s">
        <v>522</v>
      </c>
      <c r="B181" s="1143"/>
      <c r="C181" s="1143"/>
      <c r="D181" s="1143" t="s">
        <v>523</v>
      </c>
      <c r="E181" s="1143"/>
      <c r="F181" s="1143"/>
      <c r="G181" s="16" t="s">
        <v>420</v>
      </c>
      <c r="H181" s="16" t="s">
        <v>72</v>
      </c>
      <c r="I181" s="16" t="s">
        <v>72</v>
      </c>
    </row>
    <row r="182" spans="1:9" ht="15" customHeight="1">
      <c r="A182" s="1143" t="s">
        <v>68</v>
      </c>
      <c r="B182" s="1143"/>
      <c r="C182" s="1143"/>
      <c r="D182" s="1143" t="s">
        <v>68</v>
      </c>
      <c r="E182" s="1143"/>
      <c r="F182" s="1143"/>
      <c r="G182" s="16" t="s">
        <v>68</v>
      </c>
      <c r="H182" s="16" t="s">
        <v>68</v>
      </c>
      <c r="I182" s="16" t="s">
        <v>68</v>
      </c>
    </row>
    <row r="183" spans="1:9" ht="15" customHeight="1">
      <c r="A183" s="1143" t="s">
        <v>524</v>
      </c>
      <c r="B183" s="1143"/>
      <c r="C183" s="1143"/>
      <c r="D183" s="1143" t="s">
        <v>68</v>
      </c>
      <c r="E183" s="1143"/>
      <c r="F183" s="1143"/>
      <c r="G183" s="16" t="s">
        <v>68</v>
      </c>
      <c r="H183" s="16" t="s">
        <v>68</v>
      </c>
      <c r="I183" s="16" t="s">
        <v>68</v>
      </c>
    </row>
    <row r="184" spans="1:9" ht="15" customHeight="1">
      <c r="A184" s="1143" t="s">
        <v>525</v>
      </c>
      <c r="B184" s="1143"/>
      <c r="C184" s="1143"/>
      <c r="D184" s="1143" t="s">
        <v>526</v>
      </c>
      <c r="E184" s="1143"/>
      <c r="F184" s="1143"/>
      <c r="G184" s="16" t="s">
        <v>527</v>
      </c>
      <c r="H184" s="16" t="s">
        <v>526</v>
      </c>
      <c r="I184" s="16" t="s">
        <v>72</v>
      </c>
    </row>
    <row r="185" spans="1:9">
      <c r="A185" s="1143" t="s">
        <v>528</v>
      </c>
      <c r="B185" s="1143"/>
      <c r="C185" s="1143"/>
      <c r="D185" s="1143" t="s">
        <v>529</v>
      </c>
      <c r="E185" s="1143"/>
      <c r="F185" s="1143"/>
      <c r="G185" s="16" t="s">
        <v>530</v>
      </c>
      <c r="H185" s="16" t="s">
        <v>531</v>
      </c>
      <c r="I185" s="16" t="s">
        <v>532</v>
      </c>
    </row>
    <row r="186" spans="1:9" ht="15" customHeight="1">
      <c r="A186" s="1143" t="s">
        <v>477</v>
      </c>
      <c r="B186" s="1143"/>
      <c r="C186" s="1143"/>
      <c r="D186" s="1143" t="s">
        <v>533</v>
      </c>
      <c r="E186" s="1143"/>
      <c r="F186" s="1143"/>
      <c r="G186" s="16" t="s">
        <v>534</v>
      </c>
      <c r="H186" s="16" t="s">
        <v>375</v>
      </c>
      <c r="I186" s="16" t="s">
        <v>142</v>
      </c>
    </row>
    <row r="187" spans="1:9">
      <c r="A187" s="1143" t="s">
        <v>450</v>
      </c>
      <c r="B187" s="1143"/>
      <c r="C187" s="1143"/>
      <c r="D187" s="1143" t="s">
        <v>535</v>
      </c>
      <c r="E187" s="1143"/>
      <c r="F187" s="1143"/>
      <c r="G187" s="16" t="s">
        <v>536</v>
      </c>
      <c r="H187" s="16" t="s">
        <v>537</v>
      </c>
      <c r="I187" s="16" t="s">
        <v>142</v>
      </c>
    </row>
    <row r="188" spans="1:9">
      <c r="A188" s="1143" t="s">
        <v>454</v>
      </c>
      <c r="B188" s="1143"/>
      <c r="C188" s="1143"/>
      <c r="D188" s="1143" t="s">
        <v>538</v>
      </c>
      <c r="E188" s="1143"/>
      <c r="F188" s="1143"/>
      <c r="G188" s="16" t="s">
        <v>539</v>
      </c>
      <c r="H188" s="16" t="s">
        <v>540</v>
      </c>
      <c r="I188" s="16" t="s">
        <v>77</v>
      </c>
    </row>
    <row r="189" spans="1:9">
      <c r="A189" s="1143" t="s">
        <v>459</v>
      </c>
      <c r="B189" s="1143"/>
      <c r="C189" s="1143"/>
      <c r="D189" s="1143" t="s">
        <v>541</v>
      </c>
      <c r="E189" s="1143"/>
      <c r="F189" s="1143"/>
      <c r="G189" s="16" t="s">
        <v>542</v>
      </c>
      <c r="H189" s="16" t="s">
        <v>543</v>
      </c>
      <c r="I189" s="16" t="s">
        <v>109</v>
      </c>
    </row>
    <row r="190" spans="1:9">
      <c r="A190" s="1143" t="s">
        <v>463</v>
      </c>
      <c r="B190" s="1143"/>
      <c r="C190" s="1143"/>
      <c r="D190" s="1143" t="s">
        <v>544</v>
      </c>
      <c r="E190" s="1143"/>
      <c r="F190" s="1143"/>
      <c r="G190" s="16" t="s">
        <v>306</v>
      </c>
      <c r="H190" s="16" t="s">
        <v>545</v>
      </c>
      <c r="I190" s="16" t="s">
        <v>386</v>
      </c>
    </row>
    <row r="191" spans="1:9">
      <c r="A191" s="1143" t="s">
        <v>68</v>
      </c>
      <c r="B191" s="1143"/>
      <c r="C191" s="1143"/>
      <c r="D191" s="1143" t="s">
        <v>68</v>
      </c>
      <c r="E191" s="1143"/>
      <c r="F191" s="1143"/>
      <c r="G191" s="16" t="s">
        <v>68</v>
      </c>
      <c r="H191" s="16" t="s">
        <v>68</v>
      </c>
      <c r="I191" s="16" t="s">
        <v>68</v>
      </c>
    </row>
    <row r="192" spans="1:9">
      <c r="A192" s="1143" t="s">
        <v>467</v>
      </c>
      <c r="B192" s="1143"/>
      <c r="C192" s="1143"/>
      <c r="D192" s="1143" t="s">
        <v>546</v>
      </c>
      <c r="E192" s="1143"/>
      <c r="F192" s="1143"/>
      <c r="G192" s="16" t="s">
        <v>452</v>
      </c>
      <c r="H192" s="16" t="s">
        <v>72</v>
      </c>
      <c r="I192" s="16" t="s">
        <v>72</v>
      </c>
    </row>
    <row r="193" spans="1:9">
      <c r="A193" s="17" t="s">
        <v>68</v>
      </c>
      <c r="B193" s="1144" t="s">
        <v>551</v>
      </c>
      <c r="C193" s="1144"/>
      <c r="D193" s="1144"/>
      <c r="E193" s="1144"/>
      <c r="F193" s="17"/>
      <c r="G193" s="17"/>
      <c r="H193" s="17"/>
      <c r="I193" s="17"/>
    </row>
    <row r="194" spans="1:9">
      <c r="A194" s="17"/>
      <c r="B194" s="1144"/>
      <c r="C194" s="1144"/>
      <c r="D194" s="1144"/>
      <c r="E194" s="1144"/>
      <c r="F194" s="17"/>
      <c r="G194" s="17"/>
      <c r="H194" s="17"/>
      <c r="I194" s="17"/>
    </row>
    <row r="195" spans="1:9">
      <c r="A195" s="17" t="s">
        <v>68</v>
      </c>
      <c r="B195" s="1144" t="s">
        <v>552</v>
      </c>
      <c r="C195" s="1144"/>
      <c r="D195" s="1144"/>
      <c r="E195" s="1144"/>
      <c r="F195" s="17"/>
      <c r="G195" s="17"/>
      <c r="H195" s="17"/>
      <c r="I195" s="17"/>
    </row>
    <row r="196" spans="1:9">
      <c r="A196" s="17"/>
      <c r="B196" s="1144"/>
      <c r="C196" s="1144"/>
      <c r="D196" s="1144"/>
      <c r="E196" s="1144"/>
      <c r="F196" s="17"/>
      <c r="G196" s="17"/>
      <c r="H196" s="17"/>
      <c r="I196" s="17"/>
    </row>
    <row r="197" spans="1:9">
      <c r="A197" s="17" t="s">
        <v>68</v>
      </c>
      <c r="B197" s="1144" t="s">
        <v>553</v>
      </c>
      <c r="C197" s="1144"/>
      <c r="D197" s="1144"/>
      <c r="E197" s="1144"/>
      <c r="F197" s="17"/>
      <c r="G197" s="17"/>
      <c r="H197" s="17"/>
      <c r="I197" s="17"/>
    </row>
    <row r="198" spans="1:9">
      <c r="A198" s="17"/>
      <c r="B198" s="1144"/>
      <c r="C198" s="1144"/>
      <c r="D198" s="1144"/>
      <c r="E198" s="1144"/>
      <c r="F198" s="17"/>
      <c r="G198" s="17"/>
      <c r="H198" s="17"/>
      <c r="I198" s="17"/>
    </row>
    <row r="199" spans="1:9">
      <c r="A199" s="17" t="s">
        <v>68</v>
      </c>
      <c r="B199" s="1144" t="s">
        <v>554</v>
      </c>
      <c r="C199" s="1144"/>
      <c r="D199" s="1144"/>
      <c r="E199" s="1144"/>
      <c r="F199" s="17"/>
      <c r="G199" s="17"/>
      <c r="H199" s="17"/>
      <c r="I199" s="17"/>
    </row>
    <row r="200" spans="1:9">
      <c r="A200" s="17"/>
      <c r="B200" s="1144"/>
      <c r="C200" s="1144"/>
      <c r="D200" s="1144"/>
      <c r="E200" s="1144"/>
      <c r="F200" s="17"/>
      <c r="G200" s="17"/>
      <c r="H200" s="17"/>
      <c r="I200" s="17"/>
    </row>
    <row r="201" spans="1:9">
      <c r="A201" s="17" t="s">
        <v>68</v>
      </c>
      <c r="B201" s="1144" t="s">
        <v>555</v>
      </c>
      <c r="C201" s="1144"/>
      <c r="D201" s="1144"/>
      <c r="E201" s="1144"/>
      <c r="F201" s="17"/>
      <c r="G201" s="17"/>
      <c r="H201" s="17"/>
      <c r="I201" s="17"/>
    </row>
    <row r="202" spans="1:9">
      <c r="A202" s="17"/>
      <c r="B202" s="1144"/>
      <c r="C202" s="1144"/>
      <c r="D202" s="1144"/>
      <c r="E202" s="1144"/>
      <c r="F202" s="17"/>
      <c r="G202" s="17"/>
      <c r="H202" s="17"/>
      <c r="I202" s="17"/>
    </row>
    <row r="203" spans="1:9">
      <c r="A203" s="17" t="s">
        <v>68</v>
      </c>
      <c r="B203" s="1144" t="s">
        <v>556</v>
      </c>
      <c r="C203" s="1144"/>
      <c r="D203" s="1144"/>
      <c r="E203" s="1144"/>
      <c r="F203" s="17"/>
      <c r="G203" s="17"/>
      <c r="H203" s="17"/>
      <c r="I203" s="17"/>
    </row>
    <row r="204" spans="1:9">
      <c r="A204" s="17"/>
      <c r="B204" s="1144"/>
      <c r="C204" s="1144"/>
      <c r="D204" s="1144"/>
      <c r="E204" s="1144"/>
      <c r="F204" s="17"/>
      <c r="G204" s="17"/>
      <c r="H204" s="17"/>
      <c r="I204" s="17"/>
    </row>
    <row r="205" spans="1:9">
      <c r="A205" s="17" t="s">
        <v>68</v>
      </c>
      <c r="B205" s="1144" t="s">
        <v>557</v>
      </c>
      <c r="C205" s="1144"/>
      <c r="D205" s="1144"/>
      <c r="E205" s="1144"/>
      <c r="F205" s="17"/>
      <c r="G205" s="17"/>
      <c r="H205" s="17"/>
      <c r="I205" s="17"/>
    </row>
    <row r="206" spans="1:9">
      <c r="A206" s="17"/>
      <c r="B206" s="1144"/>
      <c r="C206" s="1144"/>
      <c r="D206" s="1144"/>
      <c r="E206" s="1144"/>
      <c r="F206" s="17"/>
      <c r="G206" s="17"/>
      <c r="H206" s="17"/>
      <c r="I206" s="17"/>
    </row>
    <row r="207" spans="1:9">
      <c r="A207" s="17" t="s">
        <v>68</v>
      </c>
      <c r="B207" s="1144" t="s">
        <v>558</v>
      </c>
      <c r="C207" s="1144"/>
      <c r="D207" s="1144"/>
      <c r="E207" s="1144"/>
      <c r="F207" s="17"/>
      <c r="G207" s="17"/>
      <c r="H207" s="17"/>
      <c r="I207" s="17"/>
    </row>
    <row r="208" spans="1:9">
      <c r="A208" s="17"/>
      <c r="B208" s="1144"/>
      <c r="C208" s="1144"/>
      <c r="D208" s="1144"/>
      <c r="E208" s="1144"/>
      <c r="F208" s="17"/>
      <c r="G208" s="17"/>
      <c r="H208" s="17"/>
      <c r="I208" s="17"/>
    </row>
    <row r="209" spans="1:9">
      <c r="A209" s="17" t="s">
        <v>68</v>
      </c>
      <c r="B209" s="1144" t="s">
        <v>559</v>
      </c>
      <c r="C209" s="1144"/>
      <c r="D209" s="1144"/>
      <c r="E209" s="1144"/>
      <c r="F209" s="17"/>
      <c r="G209" s="17"/>
      <c r="H209" s="17"/>
      <c r="I209" s="17"/>
    </row>
    <row r="210" spans="1:9">
      <c r="A210" s="17"/>
      <c r="B210" s="1144"/>
      <c r="C210" s="1144"/>
      <c r="D210" s="1144"/>
      <c r="E210" s="1144"/>
      <c r="F210" s="17"/>
      <c r="G210" s="17"/>
      <c r="H210" s="17"/>
      <c r="I210" s="17"/>
    </row>
    <row r="211" spans="1:9">
      <c r="A211" s="17" t="s">
        <v>68</v>
      </c>
      <c r="B211" s="1144" t="s">
        <v>560</v>
      </c>
      <c r="C211" s="1144"/>
      <c r="D211" s="1144"/>
      <c r="E211" s="1144"/>
      <c r="F211" s="17"/>
      <c r="G211" s="17"/>
      <c r="H211" s="17"/>
      <c r="I211" s="17"/>
    </row>
    <row r="212" spans="1:9">
      <c r="A212" s="17"/>
      <c r="B212" s="1144"/>
      <c r="C212" s="1144"/>
      <c r="D212" s="1144"/>
      <c r="E212" s="1144"/>
      <c r="F212" s="17"/>
      <c r="G212" s="17"/>
      <c r="H212" s="17"/>
      <c r="I212" s="17"/>
    </row>
    <row r="213" spans="1:9">
      <c r="A213" s="17" t="s">
        <v>68</v>
      </c>
      <c r="B213" s="1144" t="s">
        <v>561</v>
      </c>
      <c r="C213" s="1144"/>
      <c r="D213" s="1144"/>
      <c r="E213" s="1144"/>
      <c r="F213" s="17"/>
      <c r="G213" s="17"/>
      <c r="H213" s="17"/>
      <c r="I213" s="17"/>
    </row>
    <row r="214" spans="1:9">
      <c r="A214" s="17"/>
      <c r="B214" s="1144"/>
      <c r="C214" s="1144"/>
      <c r="D214" s="1144"/>
      <c r="E214" s="1144"/>
      <c r="F214" s="17"/>
      <c r="G214" s="17"/>
      <c r="H214" s="17"/>
      <c r="I214" s="17"/>
    </row>
    <row r="215" spans="1:9">
      <c r="A215" s="17" t="s">
        <v>68</v>
      </c>
      <c r="B215" s="1144" t="s">
        <v>562</v>
      </c>
      <c r="C215" s="1144"/>
      <c r="D215" s="1144"/>
      <c r="E215" s="1144"/>
      <c r="F215" s="17"/>
      <c r="G215" s="17"/>
      <c r="H215" s="17"/>
      <c r="I215" s="17"/>
    </row>
    <row r="216" spans="1:9">
      <c r="A216" s="17"/>
      <c r="B216" s="1144"/>
      <c r="C216" s="1144"/>
      <c r="D216" s="1144"/>
      <c r="E216" s="1144"/>
      <c r="F216" s="17"/>
      <c r="G216" s="17"/>
      <c r="H216" s="17"/>
      <c r="I216" s="17"/>
    </row>
    <row r="217" spans="1:9">
      <c r="A217" s="17" t="s">
        <v>68</v>
      </c>
      <c r="B217" s="1144" t="s">
        <v>563</v>
      </c>
      <c r="C217" s="1144"/>
      <c r="D217" s="1144"/>
      <c r="E217" s="1144"/>
      <c r="F217" s="17"/>
      <c r="G217" s="17"/>
      <c r="H217" s="17"/>
      <c r="I217" s="17"/>
    </row>
    <row r="218" spans="1:9">
      <c r="A218" s="17"/>
      <c r="B218" s="1144"/>
      <c r="C218" s="1144"/>
      <c r="D218" s="1144"/>
      <c r="E218" s="1144"/>
      <c r="F218" s="17"/>
      <c r="G218" s="17"/>
      <c r="H218" s="17"/>
      <c r="I218" s="17"/>
    </row>
  </sheetData>
  <mergeCells count="380">
    <mergeCell ref="B217:E218"/>
    <mergeCell ref="A5:H6"/>
    <mergeCell ref="A7:H8"/>
    <mergeCell ref="A4:I4"/>
    <mergeCell ref="B205:E206"/>
    <mergeCell ref="B207:E208"/>
    <mergeCell ref="B209:E210"/>
    <mergeCell ref="B211:E212"/>
    <mergeCell ref="B213:E214"/>
    <mergeCell ref="B215:E216"/>
    <mergeCell ref="B193:E194"/>
    <mergeCell ref="B195:E196"/>
    <mergeCell ref="B197:E198"/>
    <mergeCell ref="B199:E200"/>
    <mergeCell ref="B201:E202"/>
    <mergeCell ref="B203:E204"/>
    <mergeCell ref="A190:C190"/>
    <mergeCell ref="D190:F190"/>
    <mergeCell ref="A191:C191"/>
    <mergeCell ref="D191:F191"/>
    <mergeCell ref="A192:C192"/>
    <mergeCell ref="D192:F192"/>
    <mergeCell ref="A187:C187"/>
    <mergeCell ref="D187:F187"/>
    <mergeCell ref="A188:C188"/>
    <mergeCell ref="D188:F188"/>
    <mergeCell ref="A189:C189"/>
    <mergeCell ref="D189:F189"/>
    <mergeCell ref="A184:C184"/>
    <mergeCell ref="D184:F184"/>
    <mergeCell ref="A185:C185"/>
    <mergeCell ref="D185:F185"/>
    <mergeCell ref="A186:C186"/>
    <mergeCell ref="D186:F186"/>
    <mergeCell ref="A181:C181"/>
    <mergeCell ref="D181:F181"/>
    <mergeCell ref="A182:C182"/>
    <mergeCell ref="D182:F182"/>
    <mergeCell ref="A183:C183"/>
    <mergeCell ref="D183:F183"/>
    <mergeCell ref="A178:C178"/>
    <mergeCell ref="D178:F178"/>
    <mergeCell ref="A179:C179"/>
    <mergeCell ref="D179:F179"/>
    <mergeCell ref="A180:C180"/>
    <mergeCell ref="D180:F180"/>
    <mergeCell ref="A175:C175"/>
    <mergeCell ref="D175:F175"/>
    <mergeCell ref="A176:C176"/>
    <mergeCell ref="D176:F176"/>
    <mergeCell ref="A177:C177"/>
    <mergeCell ref="D177:F177"/>
    <mergeCell ref="A172:C172"/>
    <mergeCell ref="D172:F172"/>
    <mergeCell ref="A173:C173"/>
    <mergeCell ref="D173:F173"/>
    <mergeCell ref="A174:C174"/>
    <mergeCell ref="D174:F174"/>
    <mergeCell ref="A169:C169"/>
    <mergeCell ref="D169:F169"/>
    <mergeCell ref="A170:C170"/>
    <mergeCell ref="D170:F170"/>
    <mergeCell ref="A171:C171"/>
    <mergeCell ref="D171:F171"/>
    <mergeCell ref="A166:C166"/>
    <mergeCell ref="D166:F166"/>
    <mergeCell ref="A167:C167"/>
    <mergeCell ref="D167:F167"/>
    <mergeCell ref="A168:C168"/>
    <mergeCell ref="D168:F168"/>
    <mergeCell ref="A163:C163"/>
    <mergeCell ref="D163:F163"/>
    <mergeCell ref="A164:C164"/>
    <mergeCell ref="D164:F164"/>
    <mergeCell ref="A165:C165"/>
    <mergeCell ref="D165:F165"/>
    <mergeCell ref="A160:C160"/>
    <mergeCell ref="D160:F160"/>
    <mergeCell ref="A161:C161"/>
    <mergeCell ref="D161:F161"/>
    <mergeCell ref="A162:C162"/>
    <mergeCell ref="D162:F162"/>
    <mergeCell ref="A157:C157"/>
    <mergeCell ref="D157:F157"/>
    <mergeCell ref="A158:C158"/>
    <mergeCell ref="D158:F158"/>
    <mergeCell ref="A159:C159"/>
    <mergeCell ref="D159:F159"/>
    <mergeCell ref="A154:C154"/>
    <mergeCell ref="D154:F154"/>
    <mergeCell ref="A155:C155"/>
    <mergeCell ref="D155:F155"/>
    <mergeCell ref="A156:C156"/>
    <mergeCell ref="D156:F156"/>
    <mergeCell ref="A151:C151"/>
    <mergeCell ref="D151:F151"/>
    <mergeCell ref="A152:C152"/>
    <mergeCell ref="D152:F152"/>
    <mergeCell ref="A153:C153"/>
    <mergeCell ref="D153:F153"/>
    <mergeCell ref="A148:C148"/>
    <mergeCell ref="D148:F148"/>
    <mergeCell ref="A149:C149"/>
    <mergeCell ref="D149:F149"/>
    <mergeCell ref="A150:C150"/>
    <mergeCell ref="D150:F150"/>
    <mergeCell ref="A145:C145"/>
    <mergeCell ref="D145:F145"/>
    <mergeCell ref="A146:C146"/>
    <mergeCell ref="D146:F146"/>
    <mergeCell ref="A147:C147"/>
    <mergeCell ref="D147:F147"/>
    <mergeCell ref="A142:C142"/>
    <mergeCell ref="D142:F142"/>
    <mergeCell ref="A143:C143"/>
    <mergeCell ref="D143:F143"/>
    <mergeCell ref="A144:C144"/>
    <mergeCell ref="D144:F144"/>
    <mergeCell ref="A139:C139"/>
    <mergeCell ref="D139:F139"/>
    <mergeCell ref="A140:C140"/>
    <mergeCell ref="D140:F140"/>
    <mergeCell ref="A141:C141"/>
    <mergeCell ref="D141:F141"/>
    <mergeCell ref="A136:C136"/>
    <mergeCell ref="D136:F136"/>
    <mergeCell ref="A137:C137"/>
    <mergeCell ref="D137:F137"/>
    <mergeCell ref="A138:C138"/>
    <mergeCell ref="D138:F138"/>
    <mergeCell ref="A133:C133"/>
    <mergeCell ref="D133:F133"/>
    <mergeCell ref="A134:C134"/>
    <mergeCell ref="D134:F134"/>
    <mergeCell ref="A135:C135"/>
    <mergeCell ref="D135:F135"/>
    <mergeCell ref="A130:C130"/>
    <mergeCell ref="D130:F130"/>
    <mergeCell ref="A131:C131"/>
    <mergeCell ref="D131:F131"/>
    <mergeCell ref="A132:C132"/>
    <mergeCell ref="D132:F132"/>
    <mergeCell ref="A127:C127"/>
    <mergeCell ref="D127:F127"/>
    <mergeCell ref="A128:C128"/>
    <mergeCell ref="D128:F128"/>
    <mergeCell ref="A129:C129"/>
    <mergeCell ref="D129:F129"/>
    <mergeCell ref="A124:C124"/>
    <mergeCell ref="D124:F124"/>
    <mergeCell ref="A125:C125"/>
    <mergeCell ref="D125:F125"/>
    <mergeCell ref="A126:C126"/>
    <mergeCell ref="D126:F126"/>
    <mergeCell ref="A121:C121"/>
    <mergeCell ref="D121:F121"/>
    <mergeCell ref="A122:C122"/>
    <mergeCell ref="D122:F122"/>
    <mergeCell ref="A123:C123"/>
    <mergeCell ref="D123:F123"/>
    <mergeCell ref="A118:C118"/>
    <mergeCell ref="D118:F118"/>
    <mergeCell ref="A119:C119"/>
    <mergeCell ref="D119:F119"/>
    <mergeCell ref="A120:C120"/>
    <mergeCell ref="D120:F120"/>
    <mergeCell ref="A115:C115"/>
    <mergeCell ref="D115:F115"/>
    <mergeCell ref="A116:C116"/>
    <mergeCell ref="D116:F116"/>
    <mergeCell ref="A117:C117"/>
    <mergeCell ref="D117:F117"/>
    <mergeCell ref="A112:C112"/>
    <mergeCell ref="D112:F112"/>
    <mergeCell ref="A113:C113"/>
    <mergeCell ref="D113:F113"/>
    <mergeCell ref="A114:C114"/>
    <mergeCell ref="D114:F114"/>
    <mergeCell ref="A109:C109"/>
    <mergeCell ref="D109:F109"/>
    <mergeCell ref="A110:C110"/>
    <mergeCell ref="D110:F110"/>
    <mergeCell ref="A111:C111"/>
    <mergeCell ref="D111:F111"/>
    <mergeCell ref="A106:C106"/>
    <mergeCell ref="D106:F106"/>
    <mergeCell ref="A107:C107"/>
    <mergeCell ref="D107:F107"/>
    <mergeCell ref="A108:C108"/>
    <mergeCell ref="D108:F108"/>
    <mergeCell ref="A103:C103"/>
    <mergeCell ref="D103:F103"/>
    <mergeCell ref="A104:C104"/>
    <mergeCell ref="D104:F104"/>
    <mergeCell ref="A105:C105"/>
    <mergeCell ref="D105:F105"/>
    <mergeCell ref="A100:C100"/>
    <mergeCell ref="D100:F100"/>
    <mergeCell ref="A101:C101"/>
    <mergeCell ref="D101:F101"/>
    <mergeCell ref="A102:C102"/>
    <mergeCell ref="D102:F102"/>
    <mergeCell ref="A97:C97"/>
    <mergeCell ref="D97:F97"/>
    <mergeCell ref="A98:C98"/>
    <mergeCell ref="D98:F98"/>
    <mergeCell ref="A99:C99"/>
    <mergeCell ref="D99:F99"/>
    <mergeCell ref="A94:C94"/>
    <mergeCell ref="D94:F94"/>
    <mergeCell ref="A95:C95"/>
    <mergeCell ref="D95:F95"/>
    <mergeCell ref="A96:C96"/>
    <mergeCell ref="D96:F96"/>
    <mergeCell ref="A91:C91"/>
    <mergeCell ref="D91:F91"/>
    <mergeCell ref="A92:C92"/>
    <mergeCell ref="D92:F92"/>
    <mergeCell ref="A93:C93"/>
    <mergeCell ref="D93:F93"/>
    <mergeCell ref="A88:C88"/>
    <mergeCell ref="D88:F88"/>
    <mergeCell ref="A89:C89"/>
    <mergeCell ref="D89:F89"/>
    <mergeCell ref="A90:C90"/>
    <mergeCell ref="D90:F90"/>
    <mergeCell ref="A85:C85"/>
    <mergeCell ref="D85:F85"/>
    <mergeCell ref="A86:C86"/>
    <mergeCell ref="D86:F86"/>
    <mergeCell ref="A87:C87"/>
    <mergeCell ref="D87:F87"/>
    <mergeCell ref="A82:C82"/>
    <mergeCell ref="D82:F82"/>
    <mergeCell ref="A83:C83"/>
    <mergeCell ref="D83:F83"/>
    <mergeCell ref="A84:C84"/>
    <mergeCell ref="D84:F84"/>
    <mergeCell ref="A79:C79"/>
    <mergeCell ref="D79:F79"/>
    <mergeCell ref="A80:C80"/>
    <mergeCell ref="D80:F80"/>
    <mergeCell ref="A81:C81"/>
    <mergeCell ref="D81:F81"/>
    <mergeCell ref="A76:C76"/>
    <mergeCell ref="D76:F76"/>
    <mergeCell ref="A77:C77"/>
    <mergeCell ref="D77:F77"/>
    <mergeCell ref="A78:C78"/>
    <mergeCell ref="D78:F78"/>
    <mergeCell ref="A73:C73"/>
    <mergeCell ref="D73:F73"/>
    <mergeCell ref="A74:C74"/>
    <mergeCell ref="D74:F74"/>
    <mergeCell ref="A75:C75"/>
    <mergeCell ref="D75:F75"/>
    <mergeCell ref="A70:C70"/>
    <mergeCell ref="D70:F70"/>
    <mergeCell ref="A71:C71"/>
    <mergeCell ref="D71:F71"/>
    <mergeCell ref="A72:C72"/>
    <mergeCell ref="D72:F72"/>
    <mergeCell ref="A67:C67"/>
    <mergeCell ref="D67:F67"/>
    <mergeCell ref="A68:C68"/>
    <mergeCell ref="D68:F68"/>
    <mergeCell ref="A69:C69"/>
    <mergeCell ref="D69:F69"/>
    <mergeCell ref="A64:C64"/>
    <mergeCell ref="D64:F64"/>
    <mergeCell ref="A65:C65"/>
    <mergeCell ref="D65:F65"/>
    <mergeCell ref="A66:C66"/>
    <mergeCell ref="D66:F66"/>
    <mergeCell ref="A61:C61"/>
    <mergeCell ref="D61:F61"/>
    <mergeCell ref="A62:C62"/>
    <mergeCell ref="D62:F62"/>
    <mergeCell ref="A63:C63"/>
    <mergeCell ref="D63:F63"/>
    <mergeCell ref="A58:C58"/>
    <mergeCell ref="D58:F58"/>
    <mergeCell ref="A59:C59"/>
    <mergeCell ref="D59:F59"/>
    <mergeCell ref="A60:C60"/>
    <mergeCell ref="D60:F60"/>
    <mergeCell ref="A55:C55"/>
    <mergeCell ref="D55:F55"/>
    <mergeCell ref="A56:C56"/>
    <mergeCell ref="D56:F56"/>
    <mergeCell ref="A57:C57"/>
    <mergeCell ref="D57:F57"/>
    <mergeCell ref="A52:C52"/>
    <mergeCell ref="D52:F52"/>
    <mergeCell ref="A53:C53"/>
    <mergeCell ref="D53:F53"/>
    <mergeCell ref="A54:C54"/>
    <mergeCell ref="D54:F54"/>
    <mergeCell ref="A49:C49"/>
    <mergeCell ref="D49:F49"/>
    <mergeCell ref="A50:C50"/>
    <mergeCell ref="D50:F50"/>
    <mergeCell ref="A51:C51"/>
    <mergeCell ref="D51:F51"/>
    <mergeCell ref="A46:C46"/>
    <mergeCell ref="D46:F46"/>
    <mergeCell ref="A47:C47"/>
    <mergeCell ref="D47:F47"/>
    <mergeCell ref="A48:C48"/>
    <mergeCell ref="D48:F48"/>
    <mergeCell ref="A43:C43"/>
    <mergeCell ref="D43:F43"/>
    <mergeCell ref="A44:C44"/>
    <mergeCell ref="D44:F44"/>
    <mergeCell ref="A45:C45"/>
    <mergeCell ref="D45:F45"/>
    <mergeCell ref="A40:C40"/>
    <mergeCell ref="D40:F40"/>
    <mergeCell ref="A41:C41"/>
    <mergeCell ref="D41:F41"/>
    <mergeCell ref="A42:C42"/>
    <mergeCell ref="D42:F42"/>
    <mergeCell ref="A37:C37"/>
    <mergeCell ref="D37:F37"/>
    <mergeCell ref="A38:C38"/>
    <mergeCell ref="D38:F38"/>
    <mergeCell ref="A39:C39"/>
    <mergeCell ref="D39:F39"/>
    <mergeCell ref="A34:C34"/>
    <mergeCell ref="D34:F34"/>
    <mergeCell ref="A35:C35"/>
    <mergeCell ref="D35:F35"/>
    <mergeCell ref="A36:C36"/>
    <mergeCell ref="D36:F36"/>
    <mergeCell ref="A32:C32"/>
    <mergeCell ref="D32:F32"/>
    <mergeCell ref="A33:C33"/>
    <mergeCell ref="D33:F33"/>
    <mergeCell ref="A28:C28"/>
    <mergeCell ref="D28:F28"/>
    <mergeCell ref="A29:C29"/>
    <mergeCell ref="D29:F29"/>
    <mergeCell ref="A30:C30"/>
    <mergeCell ref="D30:F30"/>
    <mergeCell ref="A25:C25"/>
    <mergeCell ref="A26:C26"/>
    <mergeCell ref="A27:C27"/>
    <mergeCell ref="A22:C22"/>
    <mergeCell ref="D22:F22"/>
    <mergeCell ref="A23:C23"/>
    <mergeCell ref="D23:F23"/>
    <mergeCell ref="A24:C24"/>
    <mergeCell ref="A31:C31"/>
    <mergeCell ref="D31:F31"/>
    <mergeCell ref="A19:C19"/>
    <mergeCell ref="D19:F19"/>
    <mergeCell ref="A20:C20"/>
    <mergeCell ref="D20:F20"/>
    <mergeCell ref="A21:C21"/>
    <mergeCell ref="D21:F21"/>
    <mergeCell ref="A16:C16"/>
    <mergeCell ref="D16:F16"/>
    <mergeCell ref="A17:C17"/>
    <mergeCell ref="D17:F17"/>
    <mergeCell ref="A18:C18"/>
    <mergeCell ref="D18:F18"/>
    <mergeCell ref="A9:C9"/>
    <mergeCell ref="D9:I9"/>
    <mergeCell ref="A3:D3"/>
    <mergeCell ref="A13:C13"/>
    <mergeCell ref="D13:F13"/>
    <mergeCell ref="A14:C14"/>
    <mergeCell ref="D14:F14"/>
    <mergeCell ref="A15:C15"/>
    <mergeCell ref="D15:F15"/>
    <mergeCell ref="D10:F10"/>
    <mergeCell ref="A11:C11"/>
    <mergeCell ref="D11:F11"/>
    <mergeCell ref="A12:C12"/>
    <mergeCell ref="D12:F12"/>
  </mergeCells>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J216"/>
  <sheetViews>
    <sheetView workbookViewId="0">
      <selection activeCell="D23" sqref="D23:F23"/>
    </sheetView>
  </sheetViews>
  <sheetFormatPr defaultRowHeight="15"/>
  <cols>
    <col min="1" max="1" width="14.85546875" customWidth="1"/>
    <col min="2" max="2" width="15.28515625" customWidth="1"/>
    <col min="3" max="6" width="14.140625" bestFit="1" customWidth="1"/>
  </cols>
  <sheetData>
    <row r="1" spans="1:10">
      <c r="A1" s="900" t="s">
        <v>2255</v>
      </c>
      <c r="B1" s="901"/>
      <c r="C1" s="902"/>
      <c r="D1" s="12"/>
      <c r="E1" s="12"/>
      <c r="F1" s="12"/>
      <c r="G1" s="12"/>
    </row>
    <row r="2" spans="1:10">
      <c r="A2" s="12"/>
      <c r="B2" s="12"/>
      <c r="C2" s="12"/>
      <c r="D2" s="12"/>
      <c r="E2" s="12"/>
      <c r="F2" s="12"/>
      <c r="G2" s="12"/>
    </row>
    <row r="3" spans="1:10">
      <c r="A3" s="1144" t="s">
        <v>547</v>
      </c>
      <c r="B3" s="1144"/>
      <c r="C3" s="1144"/>
      <c r="D3" s="1144"/>
      <c r="E3" s="556"/>
      <c r="F3" s="556"/>
      <c r="G3" s="556"/>
      <c r="H3" s="556"/>
      <c r="I3" s="556"/>
      <c r="J3" s="556"/>
    </row>
    <row r="4" spans="1:10">
      <c r="A4" s="1144" t="s">
        <v>985</v>
      </c>
      <c r="B4" s="1144"/>
      <c r="C4" s="1144"/>
      <c r="D4" s="1144"/>
      <c r="E4" s="556"/>
      <c r="F4" s="556"/>
      <c r="G4" s="556"/>
      <c r="H4" s="556"/>
      <c r="I4" s="556"/>
      <c r="J4" s="556"/>
    </row>
    <row r="5" spans="1:10" ht="15" customHeight="1">
      <c r="A5" s="556" t="s">
        <v>68</v>
      </c>
      <c r="B5" s="1144" t="s">
        <v>549</v>
      </c>
      <c r="C5" s="1144"/>
      <c r="D5" s="1144"/>
      <c r="E5" s="1144"/>
      <c r="F5" s="1144"/>
      <c r="G5" s="1144"/>
      <c r="H5" s="1144"/>
      <c r="I5" s="1144"/>
      <c r="J5" s="556"/>
    </row>
    <row r="6" spans="1:10" ht="51" customHeight="1">
      <c r="A6" s="556"/>
      <c r="B6" s="1144"/>
      <c r="C6" s="1144"/>
      <c r="D6" s="1144"/>
      <c r="E6" s="1144"/>
      <c r="F6" s="1144"/>
      <c r="G6" s="1144"/>
      <c r="H6" s="1144"/>
      <c r="I6" s="1144"/>
      <c r="J6" s="556"/>
    </row>
    <row r="7" spans="1:10" ht="15" customHeight="1">
      <c r="A7" s="556" t="s">
        <v>68</v>
      </c>
      <c r="B7" s="1144" t="s">
        <v>986</v>
      </c>
      <c r="C7" s="1144"/>
      <c r="D7" s="1144"/>
      <c r="E7" s="1144"/>
      <c r="F7" s="1144"/>
      <c r="G7" s="1144"/>
      <c r="H7" s="1144"/>
      <c r="I7" s="1144"/>
      <c r="J7" s="556"/>
    </row>
    <row r="8" spans="1:10" ht="40.5" customHeight="1">
      <c r="A8" s="556"/>
      <c r="B8" s="1146"/>
      <c r="C8" s="1146"/>
      <c r="D8" s="1146"/>
      <c r="E8" s="1146"/>
      <c r="F8" s="1146"/>
      <c r="G8" s="1146"/>
      <c r="H8" s="1146"/>
      <c r="I8" s="1146"/>
      <c r="J8" s="556"/>
    </row>
    <row r="9" spans="1:10" ht="15" customHeight="1">
      <c r="A9" s="1142" t="s">
        <v>61</v>
      </c>
      <c r="B9" s="1142"/>
      <c r="C9" s="1142"/>
      <c r="D9" s="1147" t="s">
        <v>62</v>
      </c>
      <c r="E9" s="1148"/>
      <c r="F9" s="1148"/>
      <c r="G9" s="1148"/>
      <c r="H9" s="1148"/>
      <c r="I9" s="1149"/>
      <c r="J9" s="556"/>
    </row>
    <row r="10" spans="1:10" ht="38.25">
      <c r="A10" s="13"/>
      <c r="B10" s="557"/>
      <c r="C10" s="15"/>
      <c r="D10" s="1143" t="s">
        <v>63</v>
      </c>
      <c r="E10" s="1143"/>
      <c r="F10" s="1143"/>
      <c r="G10" s="558" t="s">
        <v>987</v>
      </c>
      <c r="H10" s="558" t="s">
        <v>65</v>
      </c>
      <c r="I10" s="558" t="s">
        <v>66</v>
      </c>
      <c r="J10" s="556"/>
    </row>
    <row r="11" spans="1:10">
      <c r="A11" s="1143" t="s">
        <v>67</v>
      </c>
      <c r="B11" s="1143"/>
      <c r="C11" s="1143"/>
      <c r="D11" s="1143" t="s">
        <v>68</v>
      </c>
      <c r="E11" s="1143"/>
      <c r="F11" s="1143"/>
      <c r="G11" s="558" t="s">
        <v>68</v>
      </c>
      <c r="H11" s="558" t="s">
        <v>68</v>
      </c>
      <c r="I11" s="558" t="s">
        <v>68</v>
      </c>
      <c r="J11" s="556"/>
    </row>
    <row r="12" spans="1:10">
      <c r="A12" s="1143" t="s">
        <v>69</v>
      </c>
      <c r="B12" s="1143"/>
      <c r="C12" s="1143"/>
      <c r="D12" s="1143" t="s">
        <v>988</v>
      </c>
      <c r="E12" s="1143"/>
      <c r="F12" s="1143"/>
      <c r="G12" s="558" t="s">
        <v>989</v>
      </c>
      <c r="H12" s="558" t="s">
        <v>988</v>
      </c>
      <c r="I12" s="558" t="s">
        <v>72</v>
      </c>
      <c r="J12" s="556"/>
    </row>
    <row r="13" spans="1:10">
      <c r="A13" s="1143" t="s">
        <v>73</v>
      </c>
      <c r="B13" s="1143"/>
      <c r="C13" s="1143"/>
      <c r="D13" s="1143" t="s">
        <v>990</v>
      </c>
      <c r="E13" s="1143"/>
      <c r="F13" s="1143"/>
      <c r="G13" s="558" t="s">
        <v>991</v>
      </c>
      <c r="H13" s="558" t="s">
        <v>992</v>
      </c>
      <c r="I13" s="558" t="s">
        <v>993</v>
      </c>
      <c r="J13" s="556"/>
    </row>
    <row r="14" spans="1:10">
      <c r="A14" s="1143" t="s">
        <v>78</v>
      </c>
      <c r="B14" s="1143"/>
      <c r="C14" s="1143"/>
      <c r="D14" s="1143" t="s">
        <v>994</v>
      </c>
      <c r="E14" s="1143"/>
      <c r="F14" s="1143"/>
      <c r="G14" s="558" t="s">
        <v>995</v>
      </c>
      <c r="H14" s="558" t="s">
        <v>996</v>
      </c>
      <c r="I14" s="558" t="s">
        <v>993</v>
      </c>
      <c r="J14" s="556"/>
    </row>
    <row r="15" spans="1:10">
      <c r="A15" s="1143" t="s">
        <v>68</v>
      </c>
      <c r="B15" s="1143"/>
      <c r="C15" s="1143"/>
      <c r="D15" s="1143" t="s">
        <v>68</v>
      </c>
      <c r="E15" s="1143"/>
      <c r="F15" s="1143"/>
      <c r="G15" s="558" t="s">
        <v>68</v>
      </c>
      <c r="H15" s="558" t="s">
        <v>68</v>
      </c>
      <c r="I15" s="558" t="s">
        <v>68</v>
      </c>
      <c r="J15" s="556"/>
    </row>
    <row r="16" spans="1:10">
      <c r="A16" s="1143" t="s">
        <v>82</v>
      </c>
      <c r="B16" s="1143"/>
      <c r="C16" s="1143"/>
      <c r="D16" s="1143" t="s">
        <v>997</v>
      </c>
      <c r="E16" s="1143"/>
      <c r="F16" s="1143"/>
      <c r="G16" s="558" t="s">
        <v>167</v>
      </c>
      <c r="H16" s="558" t="s">
        <v>72</v>
      </c>
      <c r="I16" s="558" t="s">
        <v>72</v>
      </c>
      <c r="J16" s="556"/>
    </row>
    <row r="17" spans="1:10">
      <c r="A17" s="1143" t="s">
        <v>85</v>
      </c>
      <c r="B17" s="1143"/>
      <c r="C17" s="1143"/>
      <c r="D17" s="1143" t="s">
        <v>998</v>
      </c>
      <c r="E17" s="1143"/>
      <c r="F17" s="1143"/>
      <c r="G17" s="558" t="s">
        <v>122</v>
      </c>
      <c r="H17" s="558" t="s">
        <v>72</v>
      </c>
      <c r="I17" s="558" t="s">
        <v>72</v>
      </c>
      <c r="J17" s="556"/>
    </row>
    <row r="18" spans="1:10">
      <c r="A18" s="1143" t="s">
        <v>68</v>
      </c>
      <c r="B18" s="1143"/>
      <c r="C18" s="1143"/>
      <c r="D18" s="1143" t="s">
        <v>68</v>
      </c>
      <c r="E18" s="1143"/>
      <c r="F18" s="1143"/>
      <c r="G18" s="558" t="s">
        <v>68</v>
      </c>
      <c r="H18" s="558" t="s">
        <v>68</v>
      </c>
      <c r="I18" s="558" t="s">
        <v>68</v>
      </c>
      <c r="J18" s="556"/>
    </row>
    <row r="19" spans="1:10">
      <c r="A19" s="1143" t="s">
        <v>88</v>
      </c>
      <c r="B19" s="1143"/>
      <c r="C19" s="1143"/>
      <c r="D19" s="1143" t="s">
        <v>68</v>
      </c>
      <c r="E19" s="1143"/>
      <c r="F19" s="1143"/>
      <c r="G19" s="558" t="s">
        <v>68</v>
      </c>
      <c r="H19" s="558" t="s">
        <v>68</v>
      </c>
      <c r="I19" s="558" t="s">
        <v>68</v>
      </c>
      <c r="J19" s="556"/>
    </row>
    <row r="20" spans="1:10">
      <c r="A20" s="1143" t="s">
        <v>69</v>
      </c>
      <c r="B20" s="1143"/>
      <c r="C20" s="1143"/>
      <c r="D20" s="1143" t="s">
        <v>988</v>
      </c>
      <c r="E20" s="1143"/>
      <c r="F20" s="1143"/>
      <c r="G20" s="558" t="s">
        <v>989</v>
      </c>
      <c r="H20" s="558" t="s">
        <v>988</v>
      </c>
      <c r="I20" s="558" t="s">
        <v>72</v>
      </c>
      <c r="J20" s="556"/>
    </row>
    <row r="21" spans="1:10">
      <c r="A21" s="1143" t="s">
        <v>89</v>
      </c>
      <c r="B21" s="1143"/>
      <c r="C21" s="1143"/>
      <c r="D21" s="1143" t="s">
        <v>999</v>
      </c>
      <c r="E21" s="1143"/>
      <c r="F21" s="1143"/>
      <c r="G21" s="558" t="s">
        <v>1000</v>
      </c>
      <c r="H21" s="558" t="s">
        <v>1001</v>
      </c>
      <c r="I21" s="558" t="s">
        <v>532</v>
      </c>
      <c r="J21" s="556"/>
    </row>
    <row r="22" spans="1:10">
      <c r="A22" s="1143" t="s">
        <v>94</v>
      </c>
      <c r="B22" s="1143"/>
      <c r="C22" s="1143"/>
      <c r="D22" s="1143" t="s">
        <v>1002</v>
      </c>
      <c r="E22" s="1143"/>
      <c r="F22" s="1143"/>
      <c r="G22" s="558" t="s">
        <v>1003</v>
      </c>
      <c r="H22" s="558" t="s">
        <v>204</v>
      </c>
      <c r="I22" s="558" t="s">
        <v>93</v>
      </c>
      <c r="J22" s="556"/>
    </row>
    <row r="23" spans="1:10">
      <c r="A23" s="1143" t="s">
        <v>98</v>
      </c>
      <c r="B23" s="1143"/>
      <c r="C23" s="1143"/>
      <c r="D23" s="1143" t="s">
        <v>1004</v>
      </c>
      <c r="E23" s="1143"/>
      <c r="F23" s="1143"/>
      <c r="G23" s="558" t="s">
        <v>1005</v>
      </c>
      <c r="H23" s="558" t="s">
        <v>1006</v>
      </c>
      <c r="I23" s="558" t="s">
        <v>133</v>
      </c>
      <c r="J23" s="556"/>
    </row>
    <row r="24" spans="1:10">
      <c r="A24" s="1143" t="s">
        <v>102</v>
      </c>
      <c r="B24" s="1143"/>
      <c r="C24" s="1143"/>
      <c r="D24" s="1143" t="s">
        <v>1007</v>
      </c>
      <c r="E24" s="1143"/>
      <c r="F24" s="1143"/>
      <c r="G24" s="558" t="s">
        <v>1008</v>
      </c>
      <c r="H24" s="558" t="s">
        <v>1009</v>
      </c>
      <c r="I24" s="558" t="s">
        <v>275</v>
      </c>
      <c r="J24" s="556"/>
    </row>
    <row r="25" spans="1:10">
      <c r="A25" s="1143" t="s">
        <v>106</v>
      </c>
      <c r="B25" s="1143"/>
      <c r="C25" s="1143"/>
      <c r="D25" s="1143" t="s">
        <v>1010</v>
      </c>
      <c r="E25" s="1143"/>
      <c r="F25" s="1143"/>
      <c r="G25" s="558" t="s">
        <v>1011</v>
      </c>
      <c r="H25" s="558" t="s">
        <v>1012</v>
      </c>
      <c r="I25" s="558" t="s">
        <v>109</v>
      </c>
      <c r="J25" s="556"/>
    </row>
    <row r="26" spans="1:10">
      <c r="A26" s="1143" t="s">
        <v>110</v>
      </c>
      <c r="B26" s="1143"/>
      <c r="C26" s="1143"/>
      <c r="D26" s="1143" t="s">
        <v>1013</v>
      </c>
      <c r="E26" s="1143"/>
      <c r="F26" s="1143"/>
      <c r="G26" s="558" t="s">
        <v>1014</v>
      </c>
      <c r="H26" s="558" t="s">
        <v>389</v>
      </c>
      <c r="I26" s="558" t="s">
        <v>142</v>
      </c>
      <c r="J26" s="556"/>
    </row>
    <row r="27" spans="1:10">
      <c r="A27" s="1143" t="s">
        <v>114</v>
      </c>
      <c r="B27" s="1143"/>
      <c r="C27" s="1143"/>
      <c r="D27" s="1143" t="s">
        <v>1015</v>
      </c>
      <c r="E27" s="1143"/>
      <c r="F27" s="1143"/>
      <c r="G27" s="558" t="s">
        <v>1016</v>
      </c>
      <c r="H27" s="558" t="s">
        <v>1017</v>
      </c>
      <c r="I27" s="558" t="s">
        <v>167</v>
      </c>
      <c r="J27" s="556"/>
    </row>
    <row r="28" spans="1:10">
      <c r="A28" s="1143" t="s">
        <v>118</v>
      </c>
      <c r="B28" s="1143"/>
      <c r="C28" s="1143"/>
      <c r="D28" s="1143" t="s">
        <v>1018</v>
      </c>
      <c r="E28" s="1143"/>
      <c r="F28" s="1143"/>
      <c r="G28" s="558" t="s">
        <v>1019</v>
      </c>
      <c r="H28" s="558" t="s">
        <v>172</v>
      </c>
      <c r="I28" s="558" t="s">
        <v>275</v>
      </c>
      <c r="J28" s="556"/>
    </row>
    <row r="29" spans="1:10">
      <c r="A29" s="1143" t="s">
        <v>123</v>
      </c>
      <c r="B29" s="1143"/>
      <c r="C29" s="1143"/>
      <c r="D29" s="1143" t="s">
        <v>124</v>
      </c>
      <c r="E29" s="1143"/>
      <c r="F29" s="1143"/>
      <c r="G29" s="558" t="s">
        <v>125</v>
      </c>
      <c r="H29" s="558" t="s">
        <v>126</v>
      </c>
      <c r="I29" s="558" t="s">
        <v>127</v>
      </c>
      <c r="J29" s="556"/>
    </row>
    <row r="30" spans="1:10">
      <c r="A30" s="1143" t="s">
        <v>68</v>
      </c>
      <c r="B30" s="1143"/>
      <c r="C30" s="1143"/>
      <c r="D30" s="1143" t="s">
        <v>68</v>
      </c>
      <c r="E30" s="1143"/>
      <c r="F30" s="1143"/>
      <c r="G30" s="558" t="s">
        <v>68</v>
      </c>
      <c r="H30" s="558" t="s">
        <v>68</v>
      </c>
      <c r="I30" s="558" t="s">
        <v>68</v>
      </c>
      <c r="J30" s="556"/>
    </row>
    <row r="31" spans="1:10">
      <c r="A31" s="1143" t="s">
        <v>128</v>
      </c>
      <c r="B31" s="1143"/>
      <c r="C31" s="1143"/>
      <c r="D31" s="1143" t="s">
        <v>68</v>
      </c>
      <c r="E31" s="1143"/>
      <c r="F31" s="1143"/>
      <c r="G31" s="558" t="s">
        <v>68</v>
      </c>
      <c r="H31" s="558" t="s">
        <v>68</v>
      </c>
      <c r="I31" s="558" t="s">
        <v>68</v>
      </c>
      <c r="J31" s="556"/>
    </row>
    <row r="32" spans="1:10">
      <c r="A32" s="1143" t="s">
        <v>69</v>
      </c>
      <c r="B32" s="1143"/>
      <c r="C32" s="1143"/>
      <c r="D32" s="1143" t="s">
        <v>988</v>
      </c>
      <c r="E32" s="1143"/>
      <c r="F32" s="1143"/>
      <c r="G32" s="558" t="s">
        <v>989</v>
      </c>
      <c r="H32" s="558" t="s">
        <v>988</v>
      </c>
      <c r="I32" s="558" t="s">
        <v>72</v>
      </c>
      <c r="J32" s="556"/>
    </row>
    <row r="33" spans="1:10">
      <c r="A33" s="1143" t="s">
        <v>129</v>
      </c>
      <c r="B33" s="1143"/>
      <c r="C33" s="1143"/>
      <c r="D33" s="1143" t="s">
        <v>1020</v>
      </c>
      <c r="E33" s="1143"/>
      <c r="F33" s="1143"/>
      <c r="G33" s="558" t="s">
        <v>267</v>
      </c>
      <c r="H33" s="558" t="s">
        <v>1021</v>
      </c>
      <c r="I33" s="558" t="s">
        <v>122</v>
      </c>
      <c r="J33" s="556"/>
    </row>
    <row r="34" spans="1:10">
      <c r="A34" s="1143" t="s">
        <v>134</v>
      </c>
      <c r="B34" s="1143"/>
      <c r="C34" s="1143"/>
      <c r="D34" s="1143" t="s">
        <v>1022</v>
      </c>
      <c r="E34" s="1143"/>
      <c r="F34" s="1143"/>
      <c r="G34" s="558" t="s">
        <v>1023</v>
      </c>
      <c r="H34" s="558" t="s">
        <v>1024</v>
      </c>
      <c r="I34" s="558" t="s">
        <v>264</v>
      </c>
      <c r="J34" s="556"/>
    </row>
    <row r="35" spans="1:10">
      <c r="A35" s="1143" t="s">
        <v>138</v>
      </c>
      <c r="B35" s="1143"/>
      <c r="C35" s="1143"/>
      <c r="D35" s="1143" t="s">
        <v>1025</v>
      </c>
      <c r="E35" s="1143"/>
      <c r="F35" s="1143"/>
      <c r="G35" s="558" t="s">
        <v>515</v>
      </c>
      <c r="H35" s="558" t="s">
        <v>1026</v>
      </c>
      <c r="I35" s="558" t="s">
        <v>376</v>
      </c>
      <c r="J35" s="556"/>
    </row>
    <row r="36" spans="1:10">
      <c r="A36" s="1143" t="s">
        <v>143</v>
      </c>
      <c r="B36" s="1143"/>
      <c r="C36" s="1143"/>
      <c r="D36" s="1143" t="s">
        <v>1027</v>
      </c>
      <c r="E36" s="1143"/>
      <c r="F36" s="1143"/>
      <c r="G36" s="558" t="s">
        <v>1028</v>
      </c>
      <c r="H36" s="558" t="s">
        <v>1029</v>
      </c>
      <c r="I36" s="558" t="s">
        <v>226</v>
      </c>
      <c r="J36" s="556"/>
    </row>
    <row r="37" spans="1:10">
      <c r="A37" s="1143" t="s">
        <v>147</v>
      </c>
      <c r="B37" s="1143"/>
      <c r="C37" s="1143"/>
      <c r="D37" s="1143" t="s">
        <v>1030</v>
      </c>
      <c r="E37" s="1143"/>
      <c r="F37" s="1143"/>
      <c r="G37" s="558" t="s">
        <v>1031</v>
      </c>
      <c r="H37" s="558" t="s">
        <v>1032</v>
      </c>
      <c r="I37" s="558" t="s">
        <v>406</v>
      </c>
      <c r="J37" s="556"/>
    </row>
    <row r="38" spans="1:10">
      <c r="A38" s="1143" t="s">
        <v>151</v>
      </c>
      <c r="B38" s="1143"/>
      <c r="C38" s="1143"/>
      <c r="D38" s="1143" t="s">
        <v>1033</v>
      </c>
      <c r="E38" s="1143"/>
      <c r="F38" s="1143"/>
      <c r="G38" s="558" t="s">
        <v>1034</v>
      </c>
      <c r="H38" s="558" t="s">
        <v>1035</v>
      </c>
      <c r="I38" s="558" t="s">
        <v>109</v>
      </c>
      <c r="J38" s="556"/>
    </row>
    <row r="39" spans="1:10">
      <c r="A39" s="1143" t="s">
        <v>155</v>
      </c>
      <c r="B39" s="1143"/>
      <c r="C39" s="1143"/>
      <c r="D39" s="1143" t="s">
        <v>1036</v>
      </c>
      <c r="E39" s="1143"/>
      <c r="F39" s="1143"/>
      <c r="G39" s="558" t="s">
        <v>262</v>
      </c>
      <c r="H39" s="558" t="s">
        <v>1037</v>
      </c>
      <c r="I39" s="558" t="s">
        <v>205</v>
      </c>
      <c r="J39" s="556"/>
    </row>
    <row r="40" spans="1:10">
      <c r="A40" s="1143" t="s">
        <v>159</v>
      </c>
      <c r="B40" s="1143"/>
      <c r="C40" s="1143"/>
      <c r="D40" s="1143" t="s">
        <v>1038</v>
      </c>
      <c r="E40" s="1143"/>
      <c r="F40" s="1143"/>
      <c r="G40" s="558" t="s">
        <v>404</v>
      </c>
      <c r="H40" s="558" t="s">
        <v>101</v>
      </c>
      <c r="I40" s="558" t="s">
        <v>270</v>
      </c>
      <c r="J40" s="556"/>
    </row>
    <row r="41" spans="1:10">
      <c r="A41" s="1143" t="s">
        <v>163</v>
      </c>
      <c r="B41" s="1143"/>
      <c r="C41" s="1143"/>
      <c r="D41" s="1143" t="s">
        <v>1039</v>
      </c>
      <c r="E41" s="1143"/>
      <c r="F41" s="1143"/>
      <c r="G41" s="558" t="s">
        <v>267</v>
      </c>
      <c r="H41" s="558" t="s">
        <v>1040</v>
      </c>
      <c r="I41" s="558" t="s">
        <v>122</v>
      </c>
      <c r="J41" s="556"/>
    </row>
    <row r="42" spans="1:10">
      <c r="A42" s="1143" t="s">
        <v>68</v>
      </c>
      <c r="B42" s="1143"/>
      <c r="C42" s="1143"/>
      <c r="D42" s="1143" t="s">
        <v>68</v>
      </c>
      <c r="E42" s="1143"/>
      <c r="F42" s="1143"/>
      <c r="G42" s="558" t="s">
        <v>68</v>
      </c>
      <c r="H42" s="558" t="s">
        <v>68</v>
      </c>
      <c r="I42" s="558" t="s">
        <v>68</v>
      </c>
      <c r="J42" s="556"/>
    </row>
    <row r="43" spans="1:10">
      <c r="A43" s="1143" t="s">
        <v>168</v>
      </c>
      <c r="B43" s="1143"/>
      <c r="C43" s="1143"/>
      <c r="D43" s="1143" t="s">
        <v>68</v>
      </c>
      <c r="E43" s="1143"/>
      <c r="F43" s="1143"/>
      <c r="G43" s="558" t="s">
        <v>68</v>
      </c>
      <c r="H43" s="558" t="s">
        <v>68</v>
      </c>
      <c r="I43" s="558" t="s">
        <v>68</v>
      </c>
      <c r="J43" s="556"/>
    </row>
    <row r="44" spans="1:10">
      <c r="A44" s="1143" t="s">
        <v>69</v>
      </c>
      <c r="B44" s="1143"/>
      <c r="C44" s="1143"/>
      <c r="D44" s="1143" t="s">
        <v>988</v>
      </c>
      <c r="E44" s="1143"/>
      <c r="F44" s="1143"/>
      <c r="G44" s="558" t="s">
        <v>989</v>
      </c>
      <c r="H44" s="558" t="s">
        <v>988</v>
      </c>
      <c r="I44" s="558" t="s">
        <v>72</v>
      </c>
      <c r="J44" s="556"/>
    </row>
    <row r="45" spans="1:10">
      <c r="A45" s="1143" t="s">
        <v>169</v>
      </c>
      <c r="B45" s="1143"/>
      <c r="C45" s="1143"/>
      <c r="D45" s="1143" t="s">
        <v>1041</v>
      </c>
      <c r="E45" s="1143"/>
      <c r="F45" s="1143"/>
      <c r="G45" s="558" t="s">
        <v>1042</v>
      </c>
      <c r="H45" s="558" t="s">
        <v>101</v>
      </c>
      <c r="I45" s="558" t="s">
        <v>167</v>
      </c>
      <c r="J45" s="556"/>
    </row>
    <row r="46" spans="1:10">
      <c r="A46" s="1143" t="s">
        <v>173</v>
      </c>
      <c r="B46" s="1143"/>
      <c r="C46" s="1143"/>
      <c r="D46" s="1143" t="s">
        <v>1043</v>
      </c>
      <c r="E46" s="1143"/>
      <c r="F46" s="1143"/>
      <c r="G46" s="558" t="s">
        <v>1044</v>
      </c>
      <c r="H46" s="558" t="s">
        <v>172</v>
      </c>
      <c r="I46" s="558" t="s">
        <v>275</v>
      </c>
      <c r="J46" s="556"/>
    </row>
    <row r="47" spans="1:10">
      <c r="A47" s="1143" t="s">
        <v>176</v>
      </c>
      <c r="B47" s="1143"/>
      <c r="C47" s="1143"/>
      <c r="D47" s="1143" t="s">
        <v>1045</v>
      </c>
      <c r="E47" s="1143"/>
      <c r="F47" s="1143"/>
      <c r="G47" s="558" t="s">
        <v>1046</v>
      </c>
      <c r="H47" s="558" t="s">
        <v>1047</v>
      </c>
      <c r="I47" s="558" t="s">
        <v>77</v>
      </c>
      <c r="J47" s="556"/>
    </row>
    <row r="48" spans="1:10">
      <c r="A48" s="1143" t="s">
        <v>180</v>
      </c>
      <c r="B48" s="1143"/>
      <c r="C48" s="1143"/>
      <c r="D48" s="1143" t="s">
        <v>1048</v>
      </c>
      <c r="E48" s="1143"/>
      <c r="F48" s="1143"/>
      <c r="G48" s="558" t="s">
        <v>1049</v>
      </c>
      <c r="H48" s="558" t="s">
        <v>1050</v>
      </c>
      <c r="I48" s="558" t="s">
        <v>993</v>
      </c>
      <c r="J48" s="556"/>
    </row>
    <row r="49" spans="1:10">
      <c r="A49" s="1143" t="s">
        <v>184</v>
      </c>
      <c r="B49" s="1143"/>
      <c r="C49" s="1143"/>
      <c r="D49" s="1143" t="s">
        <v>1051</v>
      </c>
      <c r="E49" s="1143"/>
      <c r="F49" s="1143"/>
      <c r="G49" s="558" t="s">
        <v>1052</v>
      </c>
      <c r="H49" s="558" t="s">
        <v>1053</v>
      </c>
      <c r="I49" s="558" t="s">
        <v>216</v>
      </c>
      <c r="J49" s="556"/>
    </row>
    <row r="50" spans="1:10">
      <c r="A50" s="1143" t="s">
        <v>188</v>
      </c>
      <c r="B50" s="1143"/>
      <c r="C50" s="1143"/>
      <c r="D50" s="1143" t="s">
        <v>1054</v>
      </c>
      <c r="E50" s="1143"/>
      <c r="F50" s="1143"/>
      <c r="G50" s="558" t="s">
        <v>1052</v>
      </c>
      <c r="H50" s="558" t="s">
        <v>1055</v>
      </c>
      <c r="I50" s="558" t="s">
        <v>216</v>
      </c>
      <c r="J50" s="556"/>
    </row>
    <row r="51" spans="1:10">
      <c r="A51" s="1143" t="s">
        <v>192</v>
      </c>
      <c r="B51" s="1143"/>
      <c r="C51" s="1143"/>
      <c r="D51" s="1143" t="s">
        <v>1056</v>
      </c>
      <c r="E51" s="1143"/>
      <c r="F51" s="1143"/>
      <c r="G51" s="558" t="s">
        <v>1057</v>
      </c>
      <c r="H51" s="558" t="s">
        <v>1058</v>
      </c>
      <c r="I51" s="558" t="s">
        <v>264</v>
      </c>
      <c r="J51" s="556"/>
    </row>
    <row r="52" spans="1:10">
      <c r="A52" s="1143" t="s">
        <v>197</v>
      </c>
      <c r="B52" s="1143"/>
      <c r="C52" s="1143"/>
      <c r="D52" s="1143" t="s">
        <v>1059</v>
      </c>
      <c r="E52" s="1143"/>
      <c r="F52" s="1143"/>
      <c r="G52" s="558" t="s">
        <v>539</v>
      </c>
      <c r="H52" s="558" t="s">
        <v>531</v>
      </c>
      <c r="I52" s="558" t="s">
        <v>117</v>
      </c>
      <c r="J52" s="556"/>
    </row>
    <row r="53" spans="1:10">
      <c r="A53" s="1143" t="s">
        <v>201</v>
      </c>
      <c r="B53" s="1143"/>
      <c r="C53" s="1143"/>
      <c r="D53" s="1143" t="s">
        <v>1060</v>
      </c>
      <c r="E53" s="1143"/>
      <c r="F53" s="1143"/>
      <c r="G53" s="558" t="s">
        <v>1061</v>
      </c>
      <c r="H53" s="558" t="s">
        <v>1062</v>
      </c>
      <c r="I53" s="558" t="s">
        <v>264</v>
      </c>
      <c r="J53" s="556"/>
    </row>
    <row r="54" spans="1:10">
      <c r="A54" s="1143" t="s">
        <v>206</v>
      </c>
      <c r="B54" s="1143"/>
      <c r="C54" s="1143"/>
      <c r="D54" s="1143" t="s">
        <v>1063</v>
      </c>
      <c r="E54" s="1143"/>
      <c r="F54" s="1143"/>
      <c r="G54" s="558" t="s">
        <v>208</v>
      </c>
      <c r="H54" s="558" t="s">
        <v>72</v>
      </c>
      <c r="I54" s="558" t="s">
        <v>72</v>
      </c>
      <c r="J54" s="556"/>
    </row>
    <row r="55" spans="1:10">
      <c r="A55" s="1143" t="s">
        <v>68</v>
      </c>
      <c r="B55" s="1143"/>
      <c r="C55" s="1143"/>
      <c r="D55" s="1143" t="s">
        <v>68</v>
      </c>
      <c r="E55" s="1143"/>
      <c r="F55" s="1143"/>
      <c r="G55" s="558" t="s">
        <v>68</v>
      </c>
      <c r="H55" s="558" t="s">
        <v>68</v>
      </c>
      <c r="I55" s="558" t="s">
        <v>68</v>
      </c>
      <c r="J55" s="556"/>
    </row>
    <row r="56" spans="1:10">
      <c r="A56" s="1143" t="s">
        <v>209</v>
      </c>
      <c r="B56" s="1143"/>
      <c r="C56" s="1143"/>
      <c r="D56" s="1143" t="s">
        <v>68</v>
      </c>
      <c r="E56" s="1143"/>
      <c r="F56" s="1143"/>
      <c r="G56" s="558" t="s">
        <v>68</v>
      </c>
      <c r="H56" s="558" t="s">
        <v>68</v>
      </c>
      <c r="I56" s="558" t="s">
        <v>68</v>
      </c>
      <c r="J56" s="556"/>
    </row>
    <row r="57" spans="1:10">
      <c r="A57" s="1143" t="s">
        <v>69</v>
      </c>
      <c r="B57" s="1143"/>
      <c r="C57" s="1143"/>
      <c r="D57" s="1143" t="s">
        <v>988</v>
      </c>
      <c r="E57" s="1143"/>
      <c r="F57" s="1143"/>
      <c r="G57" s="558" t="s">
        <v>989</v>
      </c>
      <c r="H57" s="558" t="s">
        <v>988</v>
      </c>
      <c r="I57" s="558" t="s">
        <v>72</v>
      </c>
      <c r="J57" s="556"/>
    </row>
    <row r="58" spans="1:10">
      <c r="A58" s="1143" t="s">
        <v>210</v>
      </c>
      <c r="B58" s="1143"/>
      <c r="C58" s="1143"/>
      <c r="D58" s="1143" t="s">
        <v>1064</v>
      </c>
      <c r="E58" s="1143"/>
      <c r="F58" s="1143"/>
      <c r="G58" s="558" t="s">
        <v>1065</v>
      </c>
      <c r="H58" s="558" t="s">
        <v>1066</v>
      </c>
      <c r="I58" s="558" t="s">
        <v>167</v>
      </c>
      <c r="J58" s="556"/>
    </row>
    <row r="59" spans="1:10">
      <c r="A59" s="1143" t="s">
        <v>212</v>
      </c>
      <c r="B59" s="1143"/>
      <c r="C59" s="1143"/>
      <c r="D59" s="1143" t="s">
        <v>1067</v>
      </c>
      <c r="E59" s="1143"/>
      <c r="F59" s="1143"/>
      <c r="G59" s="558" t="s">
        <v>1068</v>
      </c>
      <c r="H59" s="558" t="s">
        <v>457</v>
      </c>
      <c r="I59" s="558" t="s">
        <v>196</v>
      </c>
      <c r="J59" s="556"/>
    </row>
    <row r="60" spans="1:10">
      <c r="A60" s="1143" t="s">
        <v>217</v>
      </c>
      <c r="B60" s="1143"/>
      <c r="C60" s="1143"/>
      <c r="D60" s="1143" t="s">
        <v>1069</v>
      </c>
      <c r="E60" s="1143"/>
      <c r="F60" s="1143"/>
      <c r="G60" s="558" t="s">
        <v>1070</v>
      </c>
      <c r="H60" s="558" t="s">
        <v>1071</v>
      </c>
      <c r="I60" s="558" t="s">
        <v>150</v>
      </c>
      <c r="J60" s="556"/>
    </row>
    <row r="61" spans="1:10">
      <c r="A61" s="1143" t="s">
        <v>222</v>
      </c>
      <c r="B61" s="1143"/>
      <c r="C61" s="1143"/>
      <c r="D61" s="1143" t="s">
        <v>1072</v>
      </c>
      <c r="E61" s="1143"/>
      <c r="F61" s="1143"/>
      <c r="G61" s="558" t="s">
        <v>1073</v>
      </c>
      <c r="H61" s="558" t="s">
        <v>1074</v>
      </c>
      <c r="I61" s="558" t="s">
        <v>226</v>
      </c>
      <c r="J61" s="556"/>
    </row>
    <row r="62" spans="1:10">
      <c r="A62" s="1143" t="s">
        <v>227</v>
      </c>
      <c r="B62" s="1143"/>
      <c r="C62" s="1143"/>
      <c r="D62" s="1143" t="s">
        <v>1075</v>
      </c>
      <c r="E62" s="1143"/>
      <c r="F62" s="1143"/>
      <c r="G62" s="558" t="s">
        <v>229</v>
      </c>
      <c r="H62" s="558" t="s">
        <v>183</v>
      </c>
      <c r="I62" s="558" t="s">
        <v>142</v>
      </c>
      <c r="J62" s="556"/>
    </row>
    <row r="63" spans="1:10">
      <c r="A63" s="1143" t="s">
        <v>231</v>
      </c>
      <c r="B63" s="1143"/>
      <c r="C63" s="1143"/>
      <c r="D63" s="1143" t="s">
        <v>1076</v>
      </c>
      <c r="E63" s="1143"/>
      <c r="F63" s="1143"/>
      <c r="G63" s="558" t="s">
        <v>131</v>
      </c>
      <c r="H63" s="558" t="s">
        <v>462</v>
      </c>
      <c r="I63" s="558" t="s">
        <v>133</v>
      </c>
      <c r="J63" s="556"/>
    </row>
    <row r="64" spans="1:10">
      <c r="A64" s="1143" t="s">
        <v>68</v>
      </c>
      <c r="B64" s="1143"/>
      <c r="C64" s="1143"/>
      <c r="D64" s="1143" t="s">
        <v>68</v>
      </c>
      <c r="E64" s="1143"/>
      <c r="F64" s="1143"/>
      <c r="G64" s="558" t="s">
        <v>68</v>
      </c>
      <c r="H64" s="558" t="s">
        <v>68</v>
      </c>
      <c r="I64" s="558" t="s">
        <v>68</v>
      </c>
      <c r="J64" s="556"/>
    </row>
    <row r="65" spans="1:10">
      <c r="A65" s="1143" t="s">
        <v>235</v>
      </c>
      <c r="B65" s="1143"/>
      <c r="C65" s="1143"/>
      <c r="D65" s="1143" t="s">
        <v>68</v>
      </c>
      <c r="E65" s="1143"/>
      <c r="F65" s="1143"/>
      <c r="G65" s="558" t="s">
        <v>68</v>
      </c>
      <c r="H65" s="558" t="s">
        <v>68</v>
      </c>
      <c r="I65" s="558" t="s">
        <v>68</v>
      </c>
      <c r="J65" s="556"/>
    </row>
    <row r="66" spans="1:10">
      <c r="A66" s="1143" t="s">
        <v>236</v>
      </c>
      <c r="B66" s="1143"/>
      <c r="C66" s="1143"/>
      <c r="D66" s="1143" t="s">
        <v>990</v>
      </c>
      <c r="E66" s="1143"/>
      <c r="F66" s="1143"/>
      <c r="G66" s="558" t="s">
        <v>991</v>
      </c>
      <c r="H66" s="558" t="s">
        <v>990</v>
      </c>
      <c r="I66" s="558" t="s">
        <v>72</v>
      </c>
      <c r="J66" s="556"/>
    </row>
    <row r="67" spans="1:10">
      <c r="A67" s="1143" t="s">
        <v>237</v>
      </c>
      <c r="B67" s="1143"/>
      <c r="C67" s="1143"/>
      <c r="D67" s="1143" t="s">
        <v>1077</v>
      </c>
      <c r="E67" s="1143"/>
      <c r="F67" s="1143"/>
      <c r="G67" s="558" t="s">
        <v>1078</v>
      </c>
      <c r="H67" s="558" t="s">
        <v>1079</v>
      </c>
      <c r="I67" s="558" t="s">
        <v>142</v>
      </c>
      <c r="J67" s="556"/>
    </row>
    <row r="68" spans="1:10">
      <c r="A68" s="1143" t="s">
        <v>241</v>
      </c>
      <c r="B68" s="1143"/>
      <c r="C68" s="1143"/>
      <c r="D68" s="1143" t="s">
        <v>1080</v>
      </c>
      <c r="E68" s="1143"/>
      <c r="F68" s="1143"/>
      <c r="G68" s="558" t="s">
        <v>1081</v>
      </c>
      <c r="H68" s="558" t="s">
        <v>1082</v>
      </c>
      <c r="I68" s="558" t="s">
        <v>142</v>
      </c>
      <c r="J68" s="556"/>
    </row>
    <row r="69" spans="1:10">
      <c r="A69" s="1143" t="s">
        <v>68</v>
      </c>
      <c r="B69" s="1143"/>
      <c r="C69" s="1143"/>
      <c r="D69" s="1143" t="s">
        <v>68</v>
      </c>
      <c r="E69" s="1143"/>
      <c r="F69" s="1143"/>
      <c r="G69" s="558" t="s">
        <v>68</v>
      </c>
      <c r="H69" s="558" t="s">
        <v>68</v>
      </c>
      <c r="I69" s="558" t="s">
        <v>68</v>
      </c>
      <c r="J69" s="556"/>
    </row>
    <row r="70" spans="1:10">
      <c r="A70" s="1143" t="s">
        <v>245</v>
      </c>
      <c r="B70" s="1143"/>
      <c r="C70" s="1143"/>
      <c r="D70" s="1143" t="s">
        <v>1083</v>
      </c>
      <c r="E70" s="1143"/>
      <c r="F70" s="1143"/>
      <c r="G70" s="558" t="s">
        <v>247</v>
      </c>
      <c r="H70" s="558" t="s">
        <v>72</v>
      </c>
      <c r="I70" s="558" t="s">
        <v>72</v>
      </c>
      <c r="J70" s="556"/>
    </row>
    <row r="71" spans="1:10">
      <c r="A71" s="1143" t="s">
        <v>248</v>
      </c>
      <c r="B71" s="1143"/>
      <c r="C71" s="1143"/>
      <c r="D71" s="1143" t="s">
        <v>1084</v>
      </c>
      <c r="E71" s="1143"/>
      <c r="F71" s="1143"/>
      <c r="G71" s="558" t="s">
        <v>1085</v>
      </c>
      <c r="H71" s="558" t="s">
        <v>72</v>
      </c>
      <c r="I71" s="558" t="s">
        <v>72</v>
      </c>
      <c r="J71" s="556"/>
    </row>
    <row r="72" spans="1:10">
      <c r="A72" s="1143" t="s">
        <v>68</v>
      </c>
      <c r="B72" s="1143"/>
      <c r="C72" s="1143"/>
      <c r="D72" s="1143" t="s">
        <v>68</v>
      </c>
      <c r="E72" s="1143"/>
      <c r="F72" s="1143"/>
      <c r="G72" s="558" t="s">
        <v>68</v>
      </c>
      <c r="H72" s="558" t="s">
        <v>68</v>
      </c>
      <c r="I72" s="558" t="s">
        <v>68</v>
      </c>
      <c r="J72" s="556"/>
    </row>
    <row r="73" spans="1:10">
      <c r="A73" s="1143" t="s">
        <v>251</v>
      </c>
      <c r="B73" s="1143"/>
      <c r="C73" s="1143"/>
      <c r="D73" s="1143" t="s">
        <v>68</v>
      </c>
      <c r="E73" s="1143"/>
      <c r="F73" s="1143"/>
      <c r="G73" s="558" t="s">
        <v>68</v>
      </c>
      <c r="H73" s="558" t="s">
        <v>68</v>
      </c>
      <c r="I73" s="558" t="s">
        <v>68</v>
      </c>
      <c r="J73" s="556"/>
    </row>
    <row r="74" spans="1:10">
      <c r="A74" s="1143" t="s">
        <v>236</v>
      </c>
      <c r="B74" s="1143"/>
      <c r="C74" s="1143"/>
      <c r="D74" s="1143" t="s">
        <v>990</v>
      </c>
      <c r="E74" s="1143"/>
      <c r="F74" s="1143"/>
      <c r="G74" s="558" t="s">
        <v>991</v>
      </c>
      <c r="H74" s="558" t="s">
        <v>990</v>
      </c>
      <c r="I74" s="558" t="s">
        <v>72</v>
      </c>
      <c r="J74" s="556"/>
    </row>
    <row r="75" spans="1:10">
      <c r="A75" s="1143" t="s">
        <v>252</v>
      </c>
      <c r="B75" s="1143"/>
      <c r="C75" s="1143"/>
      <c r="D75" s="1143" t="s">
        <v>1086</v>
      </c>
      <c r="E75" s="1143"/>
      <c r="F75" s="1143"/>
      <c r="G75" s="558" t="s">
        <v>991</v>
      </c>
      <c r="H75" s="558" t="s">
        <v>1087</v>
      </c>
      <c r="I75" s="558" t="s">
        <v>221</v>
      </c>
      <c r="J75" s="556"/>
    </row>
    <row r="76" spans="1:10">
      <c r="A76" s="1143" t="s">
        <v>256</v>
      </c>
      <c r="B76" s="1143"/>
      <c r="C76" s="1143"/>
      <c r="D76" s="1143" t="s">
        <v>1088</v>
      </c>
      <c r="E76" s="1143"/>
      <c r="F76" s="1143"/>
      <c r="G76" s="558" t="s">
        <v>1089</v>
      </c>
      <c r="H76" s="558" t="s">
        <v>1090</v>
      </c>
      <c r="I76" s="558" t="s">
        <v>142</v>
      </c>
      <c r="J76" s="556"/>
    </row>
    <row r="77" spans="1:10">
      <c r="A77" s="1143" t="s">
        <v>260</v>
      </c>
      <c r="B77" s="1143"/>
      <c r="C77" s="1143"/>
      <c r="D77" s="1143" t="s">
        <v>1091</v>
      </c>
      <c r="E77" s="1143"/>
      <c r="F77" s="1143"/>
      <c r="G77" s="558" t="s">
        <v>1092</v>
      </c>
      <c r="H77" s="558" t="s">
        <v>1093</v>
      </c>
      <c r="I77" s="558" t="s">
        <v>264</v>
      </c>
      <c r="J77" s="556"/>
    </row>
    <row r="78" spans="1:10">
      <c r="A78" s="1143" t="s">
        <v>265</v>
      </c>
      <c r="B78" s="1143"/>
      <c r="C78" s="1143"/>
      <c r="D78" s="1143" t="s">
        <v>1094</v>
      </c>
      <c r="E78" s="1143"/>
      <c r="F78" s="1143"/>
      <c r="G78" s="558" t="s">
        <v>161</v>
      </c>
      <c r="H78" s="558" t="s">
        <v>504</v>
      </c>
      <c r="I78" s="558" t="s">
        <v>133</v>
      </c>
      <c r="J78" s="556"/>
    </row>
    <row r="79" spans="1:10">
      <c r="A79" s="1143" t="s">
        <v>268</v>
      </c>
      <c r="B79" s="1143"/>
      <c r="C79" s="1143"/>
      <c r="D79" s="1143" t="s">
        <v>1095</v>
      </c>
      <c r="E79" s="1143"/>
      <c r="F79" s="1143"/>
      <c r="G79" s="558" t="s">
        <v>1096</v>
      </c>
      <c r="H79" s="558" t="s">
        <v>162</v>
      </c>
      <c r="I79" s="558" t="s">
        <v>122</v>
      </c>
      <c r="J79" s="556"/>
    </row>
    <row r="80" spans="1:10">
      <c r="A80" s="1143" t="s">
        <v>271</v>
      </c>
      <c r="B80" s="1143"/>
      <c r="C80" s="1143"/>
      <c r="D80" s="1143" t="s">
        <v>1020</v>
      </c>
      <c r="E80" s="1143"/>
      <c r="F80" s="1143"/>
      <c r="G80" s="558" t="s">
        <v>1097</v>
      </c>
      <c r="H80" s="558" t="s">
        <v>1040</v>
      </c>
      <c r="I80" s="558" t="s">
        <v>275</v>
      </c>
      <c r="J80" s="556"/>
    </row>
    <row r="81" spans="1:10">
      <c r="A81" s="1143" t="s">
        <v>68</v>
      </c>
      <c r="B81" s="1143"/>
      <c r="C81" s="1143"/>
      <c r="D81" s="1143" t="s">
        <v>68</v>
      </c>
      <c r="E81" s="1143"/>
      <c r="F81" s="1143"/>
      <c r="G81" s="558" t="s">
        <v>68</v>
      </c>
      <c r="H81" s="558" t="s">
        <v>68</v>
      </c>
      <c r="I81" s="558" t="s">
        <v>68</v>
      </c>
      <c r="J81" s="556"/>
    </row>
    <row r="82" spans="1:10">
      <c r="A82" s="1143" t="s">
        <v>276</v>
      </c>
      <c r="B82" s="1143"/>
      <c r="C82" s="1143"/>
      <c r="D82" s="1143" t="s">
        <v>68</v>
      </c>
      <c r="E82" s="1143"/>
      <c r="F82" s="1143"/>
      <c r="G82" s="558" t="s">
        <v>68</v>
      </c>
      <c r="H82" s="558" t="s">
        <v>68</v>
      </c>
      <c r="I82" s="558" t="s">
        <v>68</v>
      </c>
      <c r="J82" s="556"/>
    </row>
    <row r="83" spans="1:10">
      <c r="A83" s="1143" t="s">
        <v>236</v>
      </c>
      <c r="B83" s="1143"/>
      <c r="C83" s="1143"/>
      <c r="D83" s="1143" t="s">
        <v>990</v>
      </c>
      <c r="E83" s="1143"/>
      <c r="F83" s="1143"/>
      <c r="G83" s="558" t="s">
        <v>991</v>
      </c>
      <c r="H83" s="558" t="s">
        <v>990</v>
      </c>
      <c r="I83" s="558" t="s">
        <v>72</v>
      </c>
      <c r="J83" s="556"/>
    </row>
    <row r="84" spans="1:10">
      <c r="A84" s="1143" t="s">
        <v>277</v>
      </c>
      <c r="B84" s="1143"/>
      <c r="C84" s="1143"/>
      <c r="D84" s="1143" t="s">
        <v>1098</v>
      </c>
      <c r="E84" s="1143"/>
      <c r="F84" s="1143"/>
      <c r="G84" s="558" t="s">
        <v>136</v>
      </c>
      <c r="H84" s="558" t="s">
        <v>543</v>
      </c>
      <c r="I84" s="558" t="s">
        <v>205</v>
      </c>
      <c r="J84" s="556"/>
    </row>
    <row r="85" spans="1:10">
      <c r="A85" s="1143" t="s">
        <v>280</v>
      </c>
      <c r="B85" s="1143"/>
      <c r="C85" s="1143"/>
      <c r="D85" s="1143" t="s">
        <v>1099</v>
      </c>
      <c r="E85" s="1143"/>
      <c r="F85" s="1143"/>
      <c r="G85" s="558" t="s">
        <v>1100</v>
      </c>
      <c r="H85" s="558" t="s">
        <v>1101</v>
      </c>
      <c r="I85" s="558" t="s">
        <v>376</v>
      </c>
      <c r="J85" s="556"/>
    </row>
    <row r="86" spans="1:10">
      <c r="A86" s="1143" t="s">
        <v>285</v>
      </c>
      <c r="B86" s="1143"/>
      <c r="C86" s="1143"/>
      <c r="D86" s="1143" t="s">
        <v>1102</v>
      </c>
      <c r="E86" s="1143"/>
      <c r="F86" s="1143"/>
      <c r="G86" s="558" t="s">
        <v>292</v>
      </c>
      <c r="H86" s="558" t="s">
        <v>1103</v>
      </c>
      <c r="I86" s="558" t="s">
        <v>226</v>
      </c>
      <c r="J86" s="556"/>
    </row>
    <row r="87" spans="1:10">
      <c r="A87" s="1143" t="s">
        <v>290</v>
      </c>
      <c r="B87" s="1143"/>
      <c r="C87" s="1143"/>
      <c r="D87" s="1143" t="s">
        <v>1104</v>
      </c>
      <c r="E87" s="1143"/>
      <c r="F87" s="1143"/>
      <c r="G87" s="558" t="s">
        <v>1105</v>
      </c>
      <c r="H87" s="558" t="s">
        <v>1106</v>
      </c>
      <c r="I87" s="558" t="s">
        <v>216</v>
      </c>
      <c r="J87" s="556"/>
    </row>
    <row r="88" spans="1:10">
      <c r="A88" s="1143" t="s">
        <v>68</v>
      </c>
      <c r="B88" s="1143"/>
      <c r="C88" s="1143"/>
      <c r="D88" s="1143" t="s">
        <v>68</v>
      </c>
      <c r="E88" s="1143"/>
      <c r="F88" s="1143"/>
      <c r="G88" s="558" t="s">
        <v>68</v>
      </c>
      <c r="H88" s="558" t="s">
        <v>68</v>
      </c>
      <c r="I88" s="558" t="s">
        <v>68</v>
      </c>
      <c r="J88" s="556"/>
    </row>
    <row r="89" spans="1:10">
      <c r="A89" s="1145" t="s">
        <v>294</v>
      </c>
      <c r="B89" s="1145"/>
      <c r="C89" s="1145"/>
      <c r="D89" s="1145" t="s">
        <v>68</v>
      </c>
      <c r="E89" s="1145"/>
      <c r="F89" s="1145"/>
      <c r="G89" s="559" t="s">
        <v>68</v>
      </c>
      <c r="H89" s="559" t="s">
        <v>68</v>
      </c>
      <c r="I89" s="559" t="s">
        <v>68</v>
      </c>
      <c r="J89" s="556"/>
    </row>
    <row r="90" spans="1:10">
      <c r="A90" s="1145" t="s">
        <v>236</v>
      </c>
      <c r="B90" s="1145"/>
      <c r="C90" s="1145"/>
      <c r="D90" s="1145" t="s">
        <v>990</v>
      </c>
      <c r="E90" s="1145"/>
      <c r="F90" s="1145"/>
      <c r="G90" s="559" t="s">
        <v>991</v>
      </c>
      <c r="H90" s="559" t="s">
        <v>990</v>
      </c>
      <c r="I90" s="559" t="s">
        <v>72</v>
      </c>
      <c r="J90" s="556"/>
    </row>
    <row r="91" spans="1:10">
      <c r="A91" s="1145" t="s">
        <v>295</v>
      </c>
      <c r="B91" s="1145"/>
      <c r="C91" s="1145"/>
      <c r="D91" s="1145" t="s">
        <v>1107</v>
      </c>
      <c r="E91" s="1145"/>
      <c r="F91" s="1145"/>
      <c r="G91" s="559" t="s">
        <v>1108</v>
      </c>
      <c r="H91" s="559" t="s">
        <v>1109</v>
      </c>
      <c r="I91" s="559" t="s">
        <v>113</v>
      </c>
      <c r="J91" s="556"/>
    </row>
    <row r="92" spans="1:10">
      <c r="A92" s="1145" t="s">
        <v>299</v>
      </c>
      <c r="B92" s="1145"/>
      <c r="C92" s="1145"/>
      <c r="D92" s="1145" t="s">
        <v>1110</v>
      </c>
      <c r="E92" s="1145"/>
      <c r="F92" s="1145"/>
      <c r="G92" s="559" t="s">
        <v>1111</v>
      </c>
      <c r="H92" s="559" t="s">
        <v>1112</v>
      </c>
      <c r="I92" s="559" t="s">
        <v>270</v>
      </c>
      <c r="J92" s="556"/>
    </row>
    <row r="93" spans="1:10">
      <c r="A93" s="1145" t="s">
        <v>304</v>
      </c>
      <c r="B93" s="1145"/>
      <c r="C93" s="1145"/>
      <c r="D93" s="1145" t="s">
        <v>1113</v>
      </c>
      <c r="E93" s="1145"/>
      <c r="F93" s="1145"/>
      <c r="G93" s="559" t="s">
        <v>1114</v>
      </c>
      <c r="H93" s="559" t="s">
        <v>1115</v>
      </c>
      <c r="I93" s="559" t="s">
        <v>150</v>
      </c>
      <c r="J93" s="556"/>
    </row>
    <row r="94" spans="1:10">
      <c r="A94" s="1145" t="s">
        <v>308</v>
      </c>
      <c r="B94" s="1145"/>
      <c r="C94" s="1145"/>
      <c r="D94" s="1145" t="s">
        <v>1116</v>
      </c>
      <c r="E94" s="1145"/>
      <c r="F94" s="1145"/>
      <c r="G94" s="559" t="s">
        <v>1065</v>
      </c>
      <c r="H94" s="559" t="s">
        <v>1117</v>
      </c>
      <c r="I94" s="559" t="s">
        <v>117</v>
      </c>
      <c r="J94" s="556"/>
    </row>
    <row r="95" spans="1:10">
      <c r="A95" s="1145" t="s">
        <v>312</v>
      </c>
      <c r="B95" s="1145"/>
      <c r="C95" s="1145"/>
      <c r="D95" s="1145" t="s">
        <v>1118</v>
      </c>
      <c r="E95" s="1145"/>
      <c r="F95" s="1145"/>
      <c r="G95" s="559" t="s">
        <v>1119</v>
      </c>
      <c r="H95" s="559" t="s">
        <v>126</v>
      </c>
      <c r="I95" s="559" t="s">
        <v>208</v>
      </c>
      <c r="J95" s="556"/>
    </row>
    <row r="96" spans="1:10">
      <c r="A96" s="1145" t="s">
        <v>315</v>
      </c>
      <c r="B96" s="1145"/>
      <c r="C96" s="1145"/>
      <c r="D96" s="1145" t="s">
        <v>124</v>
      </c>
      <c r="E96" s="1145"/>
      <c r="F96" s="1145"/>
      <c r="G96" s="559" t="s">
        <v>125</v>
      </c>
      <c r="H96" s="559" t="s">
        <v>126</v>
      </c>
      <c r="I96" s="559" t="s">
        <v>127</v>
      </c>
      <c r="J96" s="556"/>
    </row>
    <row r="97" spans="1:10">
      <c r="A97" s="1145" t="s">
        <v>316</v>
      </c>
      <c r="B97" s="1145"/>
      <c r="C97" s="1145"/>
      <c r="D97" s="1145" t="s">
        <v>45</v>
      </c>
      <c r="E97" s="1145"/>
      <c r="F97" s="1145"/>
      <c r="G97" s="559" t="s">
        <v>361</v>
      </c>
      <c r="H97" s="559" t="s">
        <v>318</v>
      </c>
      <c r="I97" s="559" t="s">
        <v>319</v>
      </c>
      <c r="J97" s="556"/>
    </row>
    <row r="98" spans="1:10">
      <c r="A98" s="1145" t="s">
        <v>320</v>
      </c>
      <c r="B98" s="1145"/>
      <c r="C98" s="1145"/>
      <c r="D98" s="1145" t="s">
        <v>1120</v>
      </c>
      <c r="E98" s="1145"/>
      <c r="F98" s="1145"/>
      <c r="G98" s="559" t="s">
        <v>1121</v>
      </c>
      <c r="H98" s="559" t="s">
        <v>126</v>
      </c>
      <c r="I98" s="559" t="s">
        <v>208</v>
      </c>
      <c r="J98" s="556"/>
    </row>
    <row r="99" spans="1:10">
      <c r="A99" s="1145" t="s">
        <v>321</v>
      </c>
      <c r="B99" s="1145"/>
      <c r="C99" s="1145"/>
      <c r="D99" s="1145" t="s">
        <v>1122</v>
      </c>
      <c r="E99" s="1145"/>
      <c r="F99" s="1145"/>
      <c r="G99" s="559" t="s">
        <v>1123</v>
      </c>
      <c r="H99" s="559" t="s">
        <v>126</v>
      </c>
      <c r="I99" s="559" t="s">
        <v>208</v>
      </c>
      <c r="J99" s="556"/>
    </row>
    <row r="100" spans="1:10">
      <c r="A100" s="1143" t="s">
        <v>68</v>
      </c>
      <c r="B100" s="1143"/>
      <c r="C100" s="1143"/>
      <c r="D100" s="1143" t="s">
        <v>68</v>
      </c>
      <c r="E100" s="1143"/>
      <c r="F100" s="1143"/>
      <c r="G100" s="558" t="s">
        <v>68</v>
      </c>
      <c r="H100" s="558" t="s">
        <v>68</v>
      </c>
      <c r="I100" s="558" t="s">
        <v>68</v>
      </c>
      <c r="J100" s="556"/>
    </row>
    <row r="101" spans="1:10">
      <c r="A101" s="1143" t="s">
        <v>324</v>
      </c>
      <c r="B101" s="1143"/>
      <c r="C101" s="1143"/>
      <c r="D101" s="1143" t="s">
        <v>68</v>
      </c>
      <c r="E101" s="1143"/>
      <c r="F101" s="1143"/>
      <c r="G101" s="558" t="s">
        <v>68</v>
      </c>
      <c r="H101" s="558" t="s">
        <v>68</v>
      </c>
      <c r="I101" s="558" t="s">
        <v>68</v>
      </c>
      <c r="J101" s="556"/>
    </row>
    <row r="102" spans="1:10">
      <c r="A102" s="1143" t="s">
        <v>236</v>
      </c>
      <c r="B102" s="1143"/>
      <c r="C102" s="1143"/>
      <c r="D102" s="1143" t="s">
        <v>990</v>
      </c>
      <c r="E102" s="1143"/>
      <c r="F102" s="1143"/>
      <c r="G102" s="558" t="s">
        <v>991</v>
      </c>
      <c r="H102" s="558" t="s">
        <v>990</v>
      </c>
      <c r="I102" s="558" t="s">
        <v>72</v>
      </c>
      <c r="J102" s="556"/>
    </row>
    <row r="103" spans="1:10">
      <c r="A103" s="1143" t="s">
        <v>325</v>
      </c>
      <c r="B103" s="1143"/>
      <c r="C103" s="1143"/>
      <c r="D103" s="1143" t="s">
        <v>45</v>
      </c>
      <c r="E103" s="1143"/>
      <c r="F103" s="1143"/>
      <c r="G103" s="558" t="s">
        <v>361</v>
      </c>
      <c r="H103" s="558" t="s">
        <v>318</v>
      </c>
      <c r="I103" s="558" t="s">
        <v>319</v>
      </c>
      <c r="J103" s="556"/>
    </row>
    <row r="104" spans="1:10">
      <c r="A104" s="1143" t="s">
        <v>326</v>
      </c>
      <c r="B104" s="1143"/>
      <c r="C104" s="1143"/>
      <c r="D104" s="1143" t="s">
        <v>482</v>
      </c>
      <c r="E104" s="1143"/>
      <c r="F104" s="1143"/>
      <c r="G104" s="558" t="s">
        <v>1121</v>
      </c>
      <c r="H104" s="558" t="s">
        <v>1124</v>
      </c>
      <c r="I104" s="558" t="s">
        <v>208</v>
      </c>
      <c r="J104" s="556"/>
    </row>
    <row r="105" spans="1:10">
      <c r="A105" s="1143" t="s">
        <v>329</v>
      </c>
      <c r="B105" s="1143"/>
      <c r="C105" s="1143"/>
      <c r="D105" s="1143" t="s">
        <v>1125</v>
      </c>
      <c r="E105" s="1143"/>
      <c r="F105" s="1143"/>
      <c r="G105" s="558" t="s">
        <v>1126</v>
      </c>
      <c r="H105" s="558" t="s">
        <v>311</v>
      </c>
      <c r="I105" s="558" t="s">
        <v>105</v>
      </c>
      <c r="J105" s="556"/>
    </row>
    <row r="106" spans="1:10">
      <c r="A106" s="1143" t="s">
        <v>68</v>
      </c>
      <c r="B106" s="1143"/>
      <c r="C106" s="1143"/>
      <c r="D106" s="1143" t="s">
        <v>68</v>
      </c>
      <c r="E106" s="1143"/>
      <c r="F106" s="1143"/>
      <c r="G106" s="558" t="s">
        <v>68</v>
      </c>
      <c r="H106" s="558" t="s">
        <v>68</v>
      </c>
      <c r="I106" s="558" t="s">
        <v>68</v>
      </c>
      <c r="J106" s="556"/>
    </row>
    <row r="107" spans="1:10">
      <c r="A107" s="1143" t="s">
        <v>333</v>
      </c>
      <c r="B107" s="1143"/>
      <c r="C107" s="1143"/>
      <c r="D107" s="1143" t="s">
        <v>68</v>
      </c>
      <c r="E107" s="1143"/>
      <c r="F107" s="1143"/>
      <c r="G107" s="558" t="s">
        <v>68</v>
      </c>
      <c r="H107" s="558" t="s">
        <v>68</v>
      </c>
      <c r="I107" s="558" t="s">
        <v>68</v>
      </c>
      <c r="J107" s="556"/>
    </row>
    <row r="108" spans="1:10">
      <c r="A108" s="1143" t="s">
        <v>236</v>
      </c>
      <c r="B108" s="1143"/>
      <c r="C108" s="1143"/>
      <c r="D108" s="1143" t="s">
        <v>990</v>
      </c>
      <c r="E108" s="1143"/>
      <c r="F108" s="1143"/>
      <c r="G108" s="558" t="s">
        <v>991</v>
      </c>
      <c r="H108" s="558" t="s">
        <v>990</v>
      </c>
      <c r="I108" s="558" t="s">
        <v>72</v>
      </c>
      <c r="J108" s="556"/>
    </row>
    <row r="109" spans="1:10">
      <c r="A109" s="1143" t="s">
        <v>334</v>
      </c>
      <c r="B109" s="1143"/>
      <c r="C109" s="1143"/>
      <c r="D109" s="1143" t="s">
        <v>1127</v>
      </c>
      <c r="E109" s="1143"/>
      <c r="F109" s="1143"/>
      <c r="G109" s="558" t="s">
        <v>1128</v>
      </c>
      <c r="H109" s="558" t="s">
        <v>337</v>
      </c>
      <c r="I109" s="558" t="s">
        <v>303</v>
      </c>
      <c r="J109" s="556"/>
    </row>
    <row r="110" spans="1:10">
      <c r="A110" s="1143" t="s">
        <v>338</v>
      </c>
      <c r="B110" s="1143"/>
      <c r="C110" s="1143"/>
      <c r="D110" s="1143" t="s">
        <v>352</v>
      </c>
      <c r="E110" s="1143"/>
      <c r="F110" s="1143"/>
      <c r="G110" s="558" t="s">
        <v>1129</v>
      </c>
      <c r="H110" s="558" t="s">
        <v>1124</v>
      </c>
      <c r="I110" s="558" t="s">
        <v>319</v>
      </c>
      <c r="J110" s="556"/>
    </row>
    <row r="111" spans="1:10">
      <c r="A111" s="1143" t="s">
        <v>342</v>
      </c>
      <c r="B111" s="1143"/>
      <c r="C111" s="1143"/>
      <c r="D111" s="1143" t="s">
        <v>1130</v>
      </c>
      <c r="E111" s="1143"/>
      <c r="F111" s="1143"/>
      <c r="G111" s="558" t="s">
        <v>486</v>
      </c>
      <c r="H111" s="558" t="s">
        <v>396</v>
      </c>
      <c r="I111" s="558" t="s">
        <v>498</v>
      </c>
      <c r="J111" s="556"/>
    </row>
    <row r="112" spans="1:10">
      <c r="A112" s="1143" t="s">
        <v>68</v>
      </c>
      <c r="B112" s="1143"/>
      <c r="C112" s="1143"/>
      <c r="D112" s="1143" t="s">
        <v>68</v>
      </c>
      <c r="E112" s="1143"/>
      <c r="F112" s="1143"/>
      <c r="G112" s="558" t="s">
        <v>68</v>
      </c>
      <c r="H112" s="558" t="s">
        <v>68</v>
      </c>
      <c r="I112" s="558" t="s">
        <v>68</v>
      </c>
      <c r="J112" s="556"/>
    </row>
    <row r="113" spans="1:10">
      <c r="A113" s="1143" t="s">
        <v>345</v>
      </c>
      <c r="B113" s="1143"/>
      <c r="C113" s="1143"/>
      <c r="D113" s="1143" t="s">
        <v>68</v>
      </c>
      <c r="E113" s="1143"/>
      <c r="F113" s="1143"/>
      <c r="G113" s="558" t="s">
        <v>68</v>
      </c>
      <c r="H113" s="558" t="s">
        <v>68</v>
      </c>
      <c r="I113" s="558" t="s">
        <v>68</v>
      </c>
      <c r="J113" s="556"/>
    </row>
    <row r="114" spans="1:10">
      <c r="A114" s="1143" t="s">
        <v>346</v>
      </c>
      <c r="B114" s="1143"/>
      <c r="C114" s="1143"/>
      <c r="D114" s="1143" t="s">
        <v>1077</v>
      </c>
      <c r="E114" s="1143"/>
      <c r="F114" s="1143"/>
      <c r="G114" s="558" t="s">
        <v>1078</v>
      </c>
      <c r="H114" s="558" t="s">
        <v>1077</v>
      </c>
      <c r="I114" s="558" t="s">
        <v>72</v>
      </c>
      <c r="J114" s="556"/>
    </row>
    <row r="115" spans="1:10">
      <c r="A115" s="1143" t="s">
        <v>347</v>
      </c>
      <c r="B115" s="1143"/>
      <c r="C115" s="1143"/>
      <c r="D115" s="1143" t="s">
        <v>1131</v>
      </c>
      <c r="E115" s="1143"/>
      <c r="F115" s="1143"/>
      <c r="G115" s="558" t="s">
        <v>1132</v>
      </c>
      <c r="H115" s="558" t="s">
        <v>1133</v>
      </c>
      <c r="I115" s="558" t="s">
        <v>993</v>
      </c>
      <c r="J115" s="556"/>
    </row>
    <row r="116" spans="1:10">
      <c r="A116" s="1143" t="s">
        <v>351</v>
      </c>
      <c r="B116" s="1143"/>
      <c r="C116" s="1143"/>
      <c r="D116" s="1143" t="s">
        <v>1134</v>
      </c>
      <c r="E116" s="1143"/>
      <c r="F116" s="1143"/>
      <c r="G116" s="558" t="s">
        <v>1135</v>
      </c>
      <c r="H116" s="558" t="s">
        <v>1136</v>
      </c>
      <c r="I116" s="558" t="s">
        <v>270</v>
      </c>
      <c r="J116" s="556"/>
    </row>
    <row r="117" spans="1:10">
      <c r="A117" s="1143" t="s">
        <v>355</v>
      </c>
      <c r="B117" s="1143"/>
      <c r="C117" s="1143"/>
      <c r="D117" s="1143" t="s">
        <v>1137</v>
      </c>
      <c r="E117" s="1143"/>
      <c r="F117" s="1143"/>
      <c r="G117" s="558" t="s">
        <v>399</v>
      </c>
      <c r="H117" s="558" t="s">
        <v>1138</v>
      </c>
      <c r="I117" s="558" t="s">
        <v>993</v>
      </c>
      <c r="J117" s="556"/>
    </row>
    <row r="118" spans="1:10">
      <c r="A118" s="1143" t="s">
        <v>359</v>
      </c>
      <c r="B118" s="1143"/>
      <c r="C118" s="1143"/>
      <c r="D118" s="1143" t="s">
        <v>1139</v>
      </c>
      <c r="E118" s="1143"/>
      <c r="F118" s="1143"/>
      <c r="G118" s="558" t="s">
        <v>165</v>
      </c>
      <c r="H118" s="558" t="s">
        <v>1140</v>
      </c>
      <c r="I118" s="558" t="s">
        <v>1141</v>
      </c>
      <c r="J118" s="556"/>
    </row>
    <row r="119" spans="1:10">
      <c r="A119" s="1143" t="s">
        <v>362</v>
      </c>
      <c r="B119" s="1143"/>
      <c r="C119" s="1143"/>
      <c r="D119" s="1143" t="s">
        <v>1142</v>
      </c>
      <c r="E119" s="1143"/>
      <c r="F119" s="1143"/>
      <c r="G119" s="558" t="s">
        <v>534</v>
      </c>
      <c r="H119" s="558" t="s">
        <v>365</v>
      </c>
      <c r="I119" s="558" t="s">
        <v>366</v>
      </c>
      <c r="J119" s="556"/>
    </row>
    <row r="120" spans="1:10">
      <c r="A120" s="1143" t="s">
        <v>367</v>
      </c>
      <c r="B120" s="1143"/>
      <c r="C120" s="1143"/>
      <c r="D120" s="1143" t="s">
        <v>1143</v>
      </c>
      <c r="E120" s="1143"/>
      <c r="F120" s="1143"/>
      <c r="G120" s="558" t="s">
        <v>1144</v>
      </c>
      <c r="H120" s="558" t="s">
        <v>1145</v>
      </c>
      <c r="I120" s="558" t="s">
        <v>1141</v>
      </c>
      <c r="J120" s="556"/>
    </row>
    <row r="121" spans="1:10">
      <c r="A121" s="1143" t="s">
        <v>372</v>
      </c>
      <c r="B121" s="1143"/>
      <c r="C121" s="1143"/>
      <c r="D121" s="1143" t="s">
        <v>1146</v>
      </c>
      <c r="E121" s="1143"/>
      <c r="F121" s="1143"/>
      <c r="G121" s="558" t="s">
        <v>1147</v>
      </c>
      <c r="H121" s="558" t="s">
        <v>531</v>
      </c>
      <c r="I121" s="558" t="s">
        <v>150</v>
      </c>
      <c r="J121" s="556"/>
    </row>
    <row r="122" spans="1:10">
      <c r="A122" s="1143" t="s">
        <v>377</v>
      </c>
      <c r="B122" s="1143"/>
      <c r="C122" s="1143"/>
      <c r="D122" s="1143" t="s">
        <v>45</v>
      </c>
      <c r="E122" s="1143"/>
      <c r="F122" s="1143"/>
      <c r="G122" s="558" t="s">
        <v>361</v>
      </c>
      <c r="H122" s="558" t="s">
        <v>318</v>
      </c>
      <c r="I122" s="558" t="s">
        <v>122</v>
      </c>
      <c r="J122" s="556"/>
    </row>
    <row r="123" spans="1:10">
      <c r="A123" s="1143" t="s">
        <v>378</v>
      </c>
      <c r="B123" s="1143"/>
      <c r="C123" s="1143"/>
      <c r="D123" s="1143" t="s">
        <v>1148</v>
      </c>
      <c r="E123" s="1143"/>
      <c r="F123" s="1143"/>
      <c r="G123" s="558" t="s">
        <v>1149</v>
      </c>
      <c r="H123" s="558" t="s">
        <v>72</v>
      </c>
      <c r="I123" s="558" t="s">
        <v>72</v>
      </c>
      <c r="J123" s="556"/>
    </row>
    <row r="124" spans="1:10">
      <c r="A124" s="1143" t="s">
        <v>68</v>
      </c>
      <c r="B124" s="1143"/>
      <c r="C124" s="1143"/>
      <c r="D124" s="1143" t="s">
        <v>68</v>
      </c>
      <c r="E124" s="1143"/>
      <c r="F124" s="1143"/>
      <c r="G124" s="558" t="s">
        <v>68</v>
      </c>
      <c r="H124" s="558" t="s">
        <v>68</v>
      </c>
      <c r="I124" s="558" t="s">
        <v>68</v>
      </c>
      <c r="J124" s="556"/>
    </row>
    <row r="125" spans="1:10">
      <c r="A125" s="1143" t="s">
        <v>381</v>
      </c>
      <c r="B125" s="1143"/>
      <c r="C125" s="1143"/>
      <c r="D125" s="1143" t="s">
        <v>68</v>
      </c>
      <c r="E125" s="1143"/>
      <c r="F125" s="1143"/>
      <c r="G125" s="558" t="s">
        <v>68</v>
      </c>
      <c r="H125" s="558" t="s">
        <v>68</v>
      </c>
      <c r="I125" s="558" t="s">
        <v>68</v>
      </c>
      <c r="J125" s="556"/>
    </row>
    <row r="126" spans="1:10">
      <c r="A126" s="1143" t="s">
        <v>346</v>
      </c>
      <c r="B126" s="1143"/>
      <c r="C126" s="1143"/>
      <c r="D126" s="1143" t="s">
        <v>1077</v>
      </c>
      <c r="E126" s="1143"/>
      <c r="F126" s="1143"/>
      <c r="G126" s="558" t="s">
        <v>1078</v>
      </c>
      <c r="H126" s="558" t="s">
        <v>1077</v>
      </c>
      <c r="I126" s="558" t="s">
        <v>72</v>
      </c>
      <c r="J126" s="556"/>
    </row>
    <row r="127" spans="1:10">
      <c r="A127" s="1143" t="s">
        <v>382</v>
      </c>
      <c r="B127" s="1143"/>
      <c r="C127" s="1143"/>
      <c r="D127" s="1143" t="s">
        <v>1150</v>
      </c>
      <c r="E127" s="1143"/>
      <c r="F127" s="1143"/>
      <c r="G127" s="558" t="s">
        <v>1000</v>
      </c>
      <c r="H127" s="558" t="s">
        <v>1151</v>
      </c>
      <c r="I127" s="558" t="s">
        <v>366</v>
      </c>
      <c r="J127" s="556"/>
    </row>
    <row r="128" spans="1:10">
      <c r="A128" s="1143" t="s">
        <v>387</v>
      </c>
      <c r="B128" s="1143"/>
      <c r="C128" s="1143"/>
      <c r="D128" s="1143" t="s">
        <v>1152</v>
      </c>
      <c r="E128" s="1143"/>
      <c r="F128" s="1143"/>
      <c r="G128" s="558" t="s">
        <v>1153</v>
      </c>
      <c r="H128" s="558" t="s">
        <v>1154</v>
      </c>
      <c r="I128" s="558" t="s">
        <v>366</v>
      </c>
      <c r="J128" s="556"/>
    </row>
    <row r="129" spans="1:10">
      <c r="A129" s="1143" t="s">
        <v>68</v>
      </c>
      <c r="B129" s="1143"/>
      <c r="C129" s="1143"/>
      <c r="D129" s="1143" t="s">
        <v>68</v>
      </c>
      <c r="E129" s="1143"/>
      <c r="F129" s="1143"/>
      <c r="G129" s="558" t="s">
        <v>68</v>
      </c>
      <c r="H129" s="558" t="s">
        <v>68</v>
      </c>
      <c r="I129" s="558" t="s">
        <v>68</v>
      </c>
      <c r="J129" s="556"/>
    </row>
    <row r="130" spans="1:10">
      <c r="A130" s="1143" t="s">
        <v>390</v>
      </c>
      <c r="B130" s="1143"/>
      <c r="C130" s="1143"/>
      <c r="D130" s="1143" t="s">
        <v>68</v>
      </c>
      <c r="E130" s="1143"/>
      <c r="F130" s="1143"/>
      <c r="G130" s="558" t="s">
        <v>68</v>
      </c>
      <c r="H130" s="558" t="s">
        <v>68</v>
      </c>
      <c r="I130" s="558" t="s">
        <v>68</v>
      </c>
      <c r="J130" s="556"/>
    </row>
    <row r="131" spans="1:10">
      <c r="A131" s="1143" t="s">
        <v>391</v>
      </c>
      <c r="B131" s="1143"/>
      <c r="C131" s="1143"/>
      <c r="D131" s="1143" t="s">
        <v>1150</v>
      </c>
      <c r="E131" s="1143"/>
      <c r="F131" s="1143"/>
      <c r="G131" s="558" t="s">
        <v>1000</v>
      </c>
      <c r="H131" s="558" t="s">
        <v>1150</v>
      </c>
      <c r="I131" s="558" t="s">
        <v>72</v>
      </c>
      <c r="J131" s="556"/>
    </row>
    <row r="132" spans="1:10">
      <c r="A132" s="1143" t="s">
        <v>392</v>
      </c>
      <c r="B132" s="1143"/>
      <c r="C132" s="1143"/>
      <c r="D132" s="1143" t="s">
        <v>45</v>
      </c>
      <c r="E132" s="1143"/>
      <c r="F132" s="1143"/>
      <c r="G132" s="558" t="s">
        <v>361</v>
      </c>
      <c r="H132" s="558" t="s">
        <v>318</v>
      </c>
      <c r="I132" s="558" t="s">
        <v>117</v>
      </c>
      <c r="J132" s="556"/>
    </row>
    <row r="133" spans="1:10">
      <c r="A133" s="1143" t="s">
        <v>393</v>
      </c>
      <c r="B133" s="1143"/>
      <c r="C133" s="1143"/>
      <c r="D133" s="1143" t="s">
        <v>1155</v>
      </c>
      <c r="E133" s="1143"/>
      <c r="F133" s="1143"/>
      <c r="G133" s="558" t="s">
        <v>1156</v>
      </c>
      <c r="H133" s="558" t="s">
        <v>484</v>
      </c>
      <c r="I133" s="558" t="s">
        <v>105</v>
      </c>
      <c r="J133" s="556"/>
    </row>
    <row r="134" spans="1:10">
      <c r="A134" s="1143" t="s">
        <v>397</v>
      </c>
      <c r="B134" s="1143"/>
      <c r="C134" s="1143"/>
      <c r="D134" s="1143" t="s">
        <v>1157</v>
      </c>
      <c r="E134" s="1143"/>
      <c r="F134" s="1143"/>
      <c r="G134" s="558" t="s">
        <v>1111</v>
      </c>
      <c r="H134" s="558" t="s">
        <v>1093</v>
      </c>
      <c r="I134" s="558" t="s">
        <v>406</v>
      </c>
      <c r="J134" s="556"/>
    </row>
    <row r="135" spans="1:10">
      <c r="A135" s="1143" t="s">
        <v>402</v>
      </c>
      <c r="B135" s="1143"/>
      <c r="C135" s="1143"/>
      <c r="D135" s="1143" t="s">
        <v>1158</v>
      </c>
      <c r="E135" s="1143"/>
      <c r="F135" s="1143"/>
      <c r="G135" s="558" t="s">
        <v>1132</v>
      </c>
      <c r="H135" s="558" t="s">
        <v>1159</v>
      </c>
      <c r="I135" s="558" t="s">
        <v>401</v>
      </c>
      <c r="J135" s="556"/>
    </row>
    <row r="136" spans="1:10">
      <c r="A136" s="1143" t="s">
        <v>407</v>
      </c>
      <c r="B136" s="1143"/>
      <c r="C136" s="1143"/>
      <c r="D136" s="1143" t="s">
        <v>1160</v>
      </c>
      <c r="E136" s="1143"/>
      <c r="F136" s="1143"/>
      <c r="G136" s="558" t="s">
        <v>1161</v>
      </c>
      <c r="H136" s="558" t="s">
        <v>1162</v>
      </c>
      <c r="I136" s="558" t="s">
        <v>1163</v>
      </c>
      <c r="J136" s="556"/>
    </row>
    <row r="137" spans="1:10">
      <c r="A137" s="1143" t="s">
        <v>412</v>
      </c>
      <c r="B137" s="1143"/>
      <c r="C137" s="1143"/>
      <c r="D137" s="1143" t="s">
        <v>535</v>
      </c>
      <c r="E137" s="1143"/>
      <c r="F137" s="1143"/>
      <c r="G137" s="558" t="s">
        <v>1164</v>
      </c>
      <c r="H137" s="558" t="s">
        <v>92</v>
      </c>
      <c r="I137" s="558" t="s">
        <v>418</v>
      </c>
      <c r="J137" s="556"/>
    </row>
    <row r="138" spans="1:10">
      <c r="A138" s="1143" t="s">
        <v>417</v>
      </c>
      <c r="B138" s="1143"/>
      <c r="C138" s="1143"/>
      <c r="D138" s="1143" t="s">
        <v>130</v>
      </c>
      <c r="E138" s="1143"/>
      <c r="F138" s="1143"/>
      <c r="G138" s="558" t="s">
        <v>1165</v>
      </c>
      <c r="H138" s="558" t="s">
        <v>1166</v>
      </c>
      <c r="I138" s="558" t="s">
        <v>366</v>
      </c>
      <c r="J138" s="556"/>
    </row>
    <row r="139" spans="1:10">
      <c r="A139" s="1143" t="s">
        <v>378</v>
      </c>
      <c r="B139" s="1143"/>
      <c r="C139" s="1143"/>
      <c r="D139" s="1143" t="s">
        <v>1167</v>
      </c>
      <c r="E139" s="1143"/>
      <c r="F139" s="1143"/>
      <c r="G139" s="558" t="s">
        <v>1168</v>
      </c>
      <c r="H139" s="558" t="s">
        <v>72</v>
      </c>
      <c r="I139" s="558" t="s">
        <v>72</v>
      </c>
      <c r="J139" s="556"/>
    </row>
    <row r="140" spans="1:10">
      <c r="A140" s="1143" t="s">
        <v>68</v>
      </c>
      <c r="B140" s="1143"/>
      <c r="C140" s="1143"/>
      <c r="D140" s="1143" t="s">
        <v>68</v>
      </c>
      <c r="E140" s="1143"/>
      <c r="F140" s="1143"/>
      <c r="G140" s="558" t="s">
        <v>68</v>
      </c>
      <c r="H140" s="558" t="s">
        <v>68</v>
      </c>
      <c r="I140" s="558" t="s">
        <v>68</v>
      </c>
      <c r="J140" s="556"/>
    </row>
    <row r="141" spans="1:10">
      <c r="A141" s="1143" t="s">
        <v>421</v>
      </c>
      <c r="B141" s="1143"/>
      <c r="C141" s="1143"/>
      <c r="D141" s="1143" t="s">
        <v>1152</v>
      </c>
      <c r="E141" s="1143"/>
      <c r="F141" s="1143"/>
      <c r="G141" s="558" t="s">
        <v>1153</v>
      </c>
      <c r="H141" s="558" t="s">
        <v>1152</v>
      </c>
      <c r="I141" s="558" t="s">
        <v>72</v>
      </c>
      <c r="J141" s="556"/>
    </row>
    <row r="142" spans="1:10">
      <c r="A142" s="1143" t="s">
        <v>422</v>
      </c>
      <c r="B142" s="1143"/>
      <c r="C142" s="1143"/>
      <c r="D142" s="1143" t="s">
        <v>45</v>
      </c>
      <c r="E142" s="1143"/>
      <c r="F142" s="1143"/>
      <c r="G142" s="558" t="s">
        <v>361</v>
      </c>
      <c r="H142" s="558" t="s">
        <v>318</v>
      </c>
      <c r="I142" s="558" t="s">
        <v>221</v>
      </c>
      <c r="J142" s="556"/>
    </row>
    <row r="143" spans="1:10">
      <c r="A143" s="1143" t="s">
        <v>423</v>
      </c>
      <c r="B143" s="1143"/>
      <c r="C143" s="1143"/>
      <c r="D143" s="1143" t="s">
        <v>1169</v>
      </c>
      <c r="E143" s="1143"/>
      <c r="F143" s="1143"/>
      <c r="G143" s="558" t="s">
        <v>425</v>
      </c>
      <c r="H143" s="558" t="s">
        <v>1021</v>
      </c>
      <c r="I143" s="558" t="s">
        <v>113</v>
      </c>
      <c r="J143" s="556"/>
    </row>
    <row r="144" spans="1:10">
      <c r="A144" s="1143" t="s">
        <v>426</v>
      </c>
      <c r="B144" s="1143"/>
      <c r="C144" s="1143"/>
      <c r="D144" s="1143" t="s">
        <v>1170</v>
      </c>
      <c r="E144" s="1143"/>
      <c r="F144" s="1143"/>
      <c r="G144" s="558" t="s">
        <v>1171</v>
      </c>
      <c r="H144" s="558" t="s">
        <v>1172</v>
      </c>
      <c r="I144" s="558" t="s">
        <v>1173</v>
      </c>
      <c r="J144" s="556"/>
    </row>
    <row r="145" spans="1:10">
      <c r="A145" s="1143" t="s">
        <v>431</v>
      </c>
      <c r="B145" s="1143"/>
      <c r="C145" s="1143"/>
      <c r="D145" s="1143" t="s">
        <v>1137</v>
      </c>
      <c r="E145" s="1143"/>
      <c r="F145" s="1143"/>
      <c r="G145" s="558" t="s">
        <v>1174</v>
      </c>
      <c r="H145" s="558" t="s">
        <v>1175</v>
      </c>
      <c r="I145" s="558" t="s">
        <v>1176</v>
      </c>
      <c r="J145" s="556"/>
    </row>
    <row r="146" spans="1:10">
      <c r="A146" s="1143" t="s">
        <v>436</v>
      </c>
      <c r="B146" s="1143"/>
      <c r="C146" s="1143"/>
      <c r="D146" s="1143" t="s">
        <v>1177</v>
      </c>
      <c r="E146" s="1143"/>
      <c r="F146" s="1143"/>
      <c r="G146" s="558" t="s">
        <v>1164</v>
      </c>
      <c r="H146" s="558" t="s">
        <v>1178</v>
      </c>
      <c r="I146" s="558" t="s">
        <v>1179</v>
      </c>
      <c r="J146" s="556"/>
    </row>
    <row r="147" spans="1:10">
      <c r="A147" s="1143" t="s">
        <v>378</v>
      </c>
      <c r="B147" s="1143"/>
      <c r="C147" s="1143"/>
      <c r="D147" s="1143" t="s">
        <v>1180</v>
      </c>
      <c r="E147" s="1143"/>
      <c r="F147" s="1143"/>
      <c r="G147" s="558" t="s">
        <v>1129</v>
      </c>
      <c r="H147" s="558" t="s">
        <v>72</v>
      </c>
      <c r="I147" s="558" t="s">
        <v>72</v>
      </c>
      <c r="J147" s="556"/>
    </row>
    <row r="148" spans="1:10">
      <c r="A148" s="1143" t="s">
        <v>68</v>
      </c>
      <c r="B148" s="1143"/>
      <c r="C148" s="1143"/>
      <c r="D148" s="1143" t="s">
        <v>68</v>
      </c>
      <c r="E148" s="1143"/>
      <c r="F148" s="1143"/>
      <c r="G148" s="558" t="s">
        <v>68</v>
      </c>
      <c r="H148" s="558" t="s">
        <v>68</v>
      </c>
      <c r="I148" s="558" t="s">
        <v>68</v>
      </c>
      <c r="J148" s="556"/>
    </row>
    <row r="149" spans="1:10">
      <c r="A149" s="1143" t="s">
        <v>443</v>
      </c>
      <c r="B149" s="1143"/>
      <c r="C149" s="1143"/>
      <c r="D149" s="1143" t="s">
        <v>68</v>
      </c>
      <c r="E149" s="1143"/>
      <c r="F149" s="1143"/>
      <c r="G149" s="558" t="s">
        <v>68</v>
      </c>
      <c r="H149" s="558" t="s">
        <v>68</v>
      </c>
      <c r="I149" s="558" t="s">
        <v>68</v>
      </c>
      <c r="J149" s="556"/>
    </row>
    <row r="150" spans="1:10">
      <c r="A150" s="1143" t="s">
        <v>444</v>
      </c>
      <c r="B150" s="1143"/>
      <c r="C150" s="1143"/>
      <c r="D150" s="1143" t="s">
        <v>1150</v>
      </c>
      <c r="E150" s="1143"/>
      <c r="F150" s="1143"/>
      <c r="G150" s="558" t="s">
        <v>1000</v>
      </c>
      <c r="H150" s="558" t="s">
        <v>1150</v>
      </c>
      <c r="I150" s="558" t="s">
        <v>72</v>
      </c>
      <c r="J150" s="556"/>
    </row>
    <row r="151" spans="1:10">
      <c r="A151" s="1143" t="s">
        <v>445</v>
      </c>
      <c r="B151" s="1143"/>
      <c r="C151" s="1143"/>
      <c r="D151" s="1143" t="s">
        <v>368</v>
      </c>
      <c r="E151" s="1143"/>
      <c r="F151" s="1143"/>
      <c r="G151" s="558" t="s">
        <v>1181</v>
      </c>
      <c r="H151" s="558" t="s">
        <v>1182</v>
      </c>
      <c r="I151" s="558" t="s">
        <v>1183</v>
      </c>
      <c r="J151" s="556"/>
    </row>
    <row r="152" spans="1:10">
      <c r="A152" s="1143" t="s">
        <v>450</v>
      </c>
      <c r="B152" s="1143"/>
      <c r="C152" s="1143"/>
      <c r="D152" s="1143" t="s">
        <v>1184</v>
      </c>
      <c r="E152" s="1143"/>
      <c r="F152" s="1143"/>
      <c r="G152" s="558" t="s">
        <v>1185</v>
      </c>
      <c r="H152" s="558" t="s">
        <v>1186</v>
      </c>
      <c r="I152" s="558" t="s">
        <v>1187</v>
      </c>
      <c r="J152" s="556"/>
    </row>
    <row r="153" spans="1:10">
      <c r="A153" s="1143" t="s">
        <v>454</v>
      </c>
      <c r="B153" s="1143"/>
      <c r="C153" s="1143"/>
      <c r="D153" s="1143" t="s">
        <v>1188</v>
      </c>
      <c r="E153" s="1143"/>
      <c r="F153" s="1143"/>
      <c r="G153" s="558" t="s">
        <v>1189</v>
      </c>
      <c r="H153" s="558" t="s">
        <v>1190</v>
      </c>
      <c r="I153" s="558" t="s">
        <v>386</v>
      </c>
      <c r="J153" s="556"/>
    </row>
    <row r="154" spans="1:10">
      <c r="A154" s="1143" t="s">
        <v>459</v>
      </c>
      <c r="B154" s="1143"/>
      <c r="C154" s="1143"/>
      <c r="D154" s="1143" t="s">
        <v>1191</v>
      </c>
      <c r="E154" s="1143"/>
      <c r="F154" s="1143"/>
      <c r="G154" s="558" t="s">
        <v>461</v>
      </c>
      <c r="H154" s="558" t="s">
        <v>1192</v>
      </c>
      <c r="I154" s="558" t="s">
        <v>142</v>
      </c>
      <c r="J154" s="556"/>
    </row>
    <row r="155" spans="1:10">
      <c r="A155" s="1143" t="s">
        <v>463</v>
      </c>
      <c r="B155" s="1143"/>
      <c r="C155" s="1143"/>
      <c r="D155" s="1143" t="s">
        <v>1193</v>
      </c>
      <c r="E155" s="1143"/>
      <c r="F155" s="1143"/>
      <c r="G155" s="558" t="s">
        <v>1194</v>
      </c>
      <c r="H155" s="558" t="s">
        <v>1195</v>
      </c>
      <c r="I155" s="558" t="s">
        <v>1196</v>
      </c>
      <c r="J155" s="556"/>
    </row>
    <row r="156" spans="1:10">
      <c r="A156" s="1143" t="s">
        <v>68</v>
      </c>
      <c r="B156" s="1143"/>
      <c r="C156" s="1143"/>
      <c r="D156" s="1143" t="s">
        <v>68</v>
      </c>
      <c r="E156" s="1143"/>
      <c r="F156" s="1143"/>
      <c r="G156" s="558" t="s">
        <v>68</v>
      </c>
      <c r="H156" s="558" t="s">
        <v>68</v>
      </c>
      <c r="I156" s="558" t="s">
        <v>68</v>
      </c>
      <c r="J156" s="556"/>
    </row>
    <row r="157" spans="1:10">
      <c r="A157" s="1143" t="s">
        <v>467</v>
      </c>
      <c r="B157" s="1143"/>
      <c r="C157" s="1143"/>
      <c r="D157" s="1143" t="s">
        <v>45</v>
      </c>
      <c r="E157" s="1143"/>
      <c r="F157" s="1143"/>
      <c r="G157" s="558" t="s">
        <v>361</v>
      </c>
      <c r="H157" s="558" t="s">
        <v>72</v>
      </c>
      <c r="I157" s="558" t="s">
        <v>72</v>
      </c>
      <c r="J157" s="556"/>
    </row>
    <row r="158" spans="1:10">
      <c r="A158" s="1143" t="s">
        <v>68</v>
      </c>
      <c r="B158" s="1143"/>
      <c r="C158" s="1143"/>
      <c r="D158" s="1143" t="s">
        <v>68</v>
      </c>
      <c r="E158" s="1143"/>
      <c r="F158" s="1143"/>
      <c r="G158" s="558" t="s">
        <v>68</v>
      </c>
      <c r="H158" s="558" t="s">
        <v>68</v>
      </c>
      <c r="I158" s="558" t="s">
        <v>68</v>
      </c>
      <c r="J158" s="556"/>
    </row>
    <row r="159" spans="1:10">
      <c r="A159" s="1143" t="s">
        <v>468</v>
      </c>
      <c r="B159" s="1143"/>
      <c r="C159" s="1143"/>
      <c r="D159" s="1143" t="s">
        <v>1152</v>
      </c>
      <c r="E159" s="1143"/>
      <c r="F159" s="1143"/>
      <c r="G159" s="558" t="s">
        <v>1153</v>
      </c>
      <c r="H159" s="558" t="s">
        <v>1152</v>
      </c>
      <c r="I159" s="558" t="s">
        <v>72</v>
      </c>
      <c r="J159" s="556"/>
    </row>
    <row r="160" spans="1:10">
      <c r="A160" s="1143" t="s">
        <v>469</v>
      </c>
      <c r="B160" s="1143"/>
      <c r="C160" s="1143"/>
      <c r="D160" s="1143" t="s">
        <v>1197</v>
      </c>
      <c r="E160" s="1143"/>
      <c r="F160" s="1143"/>
      <c r="G160" s="558" t="s">
        <v>136</v>
      </c>
      <c r="H160" s="558" t="s">
        <v>1198</v>
      </c>
      <c r="I160" s="558" t="s">
        <v>1199</v>
      </c>
      <c r="J160" s="556"/>
    </row>
    <row r="161" spans="1:10">
      <c r="A161" s="1143" t="s">
        <v>474</v>
      </c>
      <c r="B161" s="1143"/>
      <c r="C161" s="1143"/>
      <c r="D161" s="1143" t="s">
        <v>1200</v>
      </c>
      <c r="E161" s="1143"/>
      <c r="F161" s="1143"/>
      <c r="G161" s="558" t="s">
        <v>1201</v>
      </c>
      <c r="H161" s="558" t="s">
        <v>1192</v>
      </c>
      <c r="I161" s="558" t="s">
        <v>1202</v>
      </c>
      <c r="J161" s="556"/>
    </row>
    <row r="162" spans="1:10">
      <c r="A162" s="1143" t="s">
        <v>477</v>
      </c>
      <c r="B162" s="1143"/>
      <c r="C162" s="1143"/>
      <c r="D162" s="1143" t="s">
        <v>1203</v>
      </c>
      <c r="E162" s="1143"/>
      <c r="F162" s="1143"/>
      <c r="G162" s="558" t="s">
        <v>1204</v>
      </c>
      <c r="H162" s="558" t="s">
        <v>1205</v>
      </c>
      <c r="I162" s="558" t="s">
        <v>481</v>
      </c>
      <c r="J162" s="556"/>
    </row>
    <row r="163" spans="1:10">
      <c r="A163" s="1143" t="s">
        <v>450</v>
      </c>
      <c r="B163" s="1143"/>
      <c r="C163" s="1143"/>
      <c r="D163" s="1143" t="s">
        <v>1206</v>
      </c>
      <c r="E163" s="1143"/>
      <c r="F163" s="1143"/>
      <c r="G163" s="558" t="s">
        <v>1135</v>
      </c>
      <c r="H163" s="558" t="s">
        <v>162</v>
      </c>
      <c r="I163" s="558" t="s">
        <v>216</v>
      </c>
      <c r="J163" s="556"/>
    </row>
    <row r="164" spans="1:10">
      <c r="A164" s="1143" t="s">
        <v>454</v>
      </c>
      <c r="B164" s="1143"/>
      <c r="C164" s="1143"/>
      <c r="D164" s="1143" t="s">
        <v>1207</v>
      </c>
      <c r="E164" s="1143"/>
      <c r="F164" s="1143"/>
      <c r="G164" s="558" t="s">
        <v>1208</v>
      </c>
      <c r="H164" s="558" t="s">
        <v>476</v>
      </c>
      <c r="I164" s="558" t="s">
        <v>376</v>
      </c>
      <c r="J164" s="556"/>
    </row>
    <row r="165" spans="1:10">
      <c r="A165" s="1143" t="s">
        <v>459</v>
      </c>
      <c r="B165" s="1143"/>
      <c r="C165" s="1143"/>
      <c r="D165" s="1143" t="s">
        <v>1209</v>
      </c>
      <c r="E165" s="1143"/>
      <c r="F165" s="1143"/>
      <c r="G165" s="558" t="s">
        <v>353</v>
      </c>
      <c r="H165" s="558" t="s">
        <v>1210</v>
      </c>
      <c r="I165" s="558" t="s">
        <v>142</v>
      </c>
      <c r="J165" s="556"/>
    </row>
    <row r="166" spans="1:10">
      <c r="A166" s="1143" t="s">
        <v>463</v>
      </c>
      <c r="B166" s="1143"/>
      <c r="C166" s="1143"/>
      <c r="D166" s="1143" t="s">
        <v>1211</v>
      </c>
      <c r="E166" s="1143"/>
      <c r="F166" s="1143"/>
      <c r="G166" s="558" t="s">
        <v>349</v>
      </c>
      <c r="H166" s="558" t="s">
        <v>1062</v>
      </c>
      <c r="I166" s="558" t="s">
        <v>1212</v>
      </c>
      <c r="J166" s="556"/>
    </row>
    <row r="167" spans="1:10">
      <c r="A167" s="1143" t="s">
        <v>68</v>
      </c>
      <c r="B167" s="1143"/>
      <c r="C167" s="1143"/>
      <c r="D167" s="1143" t="s">
        <v>68</v>
      </c>
      <c r="E167" s="1143"/>
      <c r="F167" s="1143"/>
      <c r="G167" s="558" t="s">
        <v>68</v>
      </c>
      <c r="H167" s="558" t="s">
        <v>68</v>
      </c>
      <c r="I167" s="558" t="s">
        <v>68</v>
      </c>
      <c r="J167" s="556"/>
    </row>
    <row r="168" spans="1:10">
      <c r="A168" s="1143" t="s">
        <v>467</v>
      </c>
      <c r="B168" s="1143"/>
      <c r="C168" s="1143"/>
      <c r="D168" s="1143" t="s">
        <v>45</v>
      </c>
      <c r="E168" s="1143"/>
      <c r="F168" s="1143"/>
      <c r="G168" s="558" t="s">
        <v>361</v>
      </c>
      <c r="H168" s="558" t="s">
        <v>72</v>
      </c>
      <c r="I168" s="558" t="s">
        <v>72</v>
      </c>
      <c r="J168" s="556"/>
    </row>
    <row r="169" spans="1:10">
      <c r="A169" s="1143" t="s">
        <v>68</v>
      </c>
      <c r="B169" s="1143"/>
      <c r="C169" s="1143"/>
      <c r="D169" s="1143" t="s">
        <v>68</v>
      </c>
      <c r="E169" s="1143"/>
      <c r="F169" s="1143"/>
      <c r="G169" s="558" t="s">
        <v>68</v>
      </c>
      <c r="H169" s="558" t="s">
        <v>68</v>
      </c>
      <c r="I169" s="558" t="s">
        <v>68</v>
      </c>
      <c r="J169" s="556"/>
    </row>
    <row r="170" spans="1:10">
      <c r="A170" s="1143" t="s">
        <v>493</v>
      </c>
      <c r="B170" s="1143"/>
      <c r="C170" s="1143"/>
      <c r="D170" s="1143" t="s">
        <v>68</v>
      </c>
      <c r="E170" s="1143"/>
      <c r="F170" s="1143"/>
      <c r="G170" s="558" t="s">
        <v>68</v>
      </c>
      <c r="H170" s="558" t="s">
        <v>68</v>
      </c>
      <c r="I170" s="558" t="s">
        <v>68</v>
      </c>
      <c r="J170" s="556"/>
    </row>
    <row r="171" spans="1:10">
      <c r="A171" s="1143" t="s">
        <v>494</v>
      </c>
      <c r="B171" s="1143"/>
      <c r="C171" s="1143"/>
      <c r="D171" s="1143" t="s">
        <v>1213</v>
      </c>
      <c r="E171" s="1143"/>
      <c r="F171" s="1143"/>
      <c r="G171" s="558" t="s">
        <v>1214</v>
      </c>
      <c r="H171" s="558" t="s">
        <v>1213</v>
      </c>
      <c r="I171" s="558" t="s">
        <v>72</v>
      </c>
      <c r="J171" s="556"/>
    </row>
    <row r="172" spans="1:10">
      <c r="A172" s="1143" t="s">
        <v>497</v>
      </c>
      <c r="B172" s="1143"/>
      <c r="C172" s="1143"/>
      <c r="D172" s="1143" t="s">
        <v>1122</v>
      </c>
      <c r="E172" s="1143"/>
      <c r="F172" s="1143"/>
      <c r="G172" s="558" t="s">
        <v>1119</v>
      </c>
      <c r="H172" s="558" t="s">
        <v>1124</v>
      </c>
      <c r="I172" s="558" t="s">
        <v>319</v>
      </c>
      <c r="J172" s="556"/>
    </row>
    <row r="173" spans="1:10">
      <c r="A173" s="1143" t="s">
        <v>426</v>
      </c>
      <c r="B173" s="1143"/>
      <c r="C173" s="1143"/>
      <c r="D173" s="1143" t="s">
        <v>1215</v>
      </c>
      <c r="E173" s="1143"/>
      <c r="F173" s="1143"/>
      <c r="G173" s="558" t="s">
        <v>374</v>
      </c>
      <c r="H173" s="558" t="s">
        <v>1066</v>
      </c>
      <c r="I173" s="558" t="s">
        <v>117</v>
      </c>
      <c r="J173" s="556"/>
    </row>
    <row r="174" spans="1:10">
      <c r="A174" s="1143" t="s">
        <v>393</v>
      </c>
      <c r="B174" s="1143"/>
      <c r="C174" s="1143"/>
      <c r="D174" s="1143" t="s">
        <v>1216</v>
      </c>
      <c r="E174" s="1143"/>
      <c r="F174" s="1143"/>
      <c r="G174" s="558" t="s">
        <v>1217</v>
      </c>
      <c r="H174" s="558" t="s">
        <v>1218</v>
      </c>
      <c r="I174" s="558" t="s">
        <v>196</v>
      </c>
      <c r="J174" s="556"/>
    </row>
    <row r="175" spans="1:10">
      <c r="A175" s="1143" t="s">
        <v>505</v>
      </c>
      <c r="B175" s="1143"/>
      <c r="C175" s="1143"/>
      <c r="D175" s="1143" t="s">
        <v>1219</v>
      </c>
      <c r="E175" s="1143"/>
      <c r="F175" s="1143"/>
      <c r="G175" s="558" t="s">
        <v>145</v>
      </c>
      <c r="H175" s="558" t="s">
        <v>1220</v>
      </c>
      <c r="I175" s="558" t="s">
        <v>401</v>
      </c>
      <c r="J175" s="556"/>
    </row>
    <row r="176" spans="1:10">
      <c r="A176" s="1143" t="s">
        <v>509</v>
      </c>
      <c r="B176" s="1143"/>
      <c r="C176" s="1143"/>
      <c r="D176" s="1143" t="s">
        <v>1221</v>
      </c>
      <c r="E176" s="1143"/>
      <c r="F176" s="1143"/>
      <c r="G176" s="558" t="s">
        <v>1222</v>
      </c>
      <c r="H176" s="558" t="s">
        <v>1223</v>
      </c>
      <c r="I176" s="558" t="s">
        <v>284</v>
      </c>
      <c r="J176" s="556"/>
    </row>
    <row r="177" spans="1:10">
      <c r="A177" s="1143" t="s">
        <v>407</v>
      </c>
      <c r="B177" s="1143"/>
      <c r="C177" s="1143"/>
      <c r="D177" s="1143" t="s">
        <v>1224</v>
      </c>
      <c r="E177" s="1143"/>
      <c r="F177" s="1143"/>
      <c r="G177" s="558" t="s">
        <v>1068</v>
      </c>
      <c r="H177" s="558" t="s">
        <v>1225</v>
      </c>
      <c r="I177" s="558" t="s">
        <v>284</v>
      </c>
      <c r="J177" s="556"/>
    </row>
    <row r="178" spans="1:10">
      <c r="A178" s="1143" t="s">
        <v>517</v>
      </c>
      <c r="B178" s="1143"/>
      <c r="C178" s="1143"/>
      <c r="D178" s="1143" t="s">
        <v>1226</v>
      </c>
      <c r="E178" s="1143"/>
      <c r="F178" s="1143"/>
      <c r="G178" s="558" t="s">
        <v>1227</v>
      </c>
      <c r="H178" s="558" t="s">
        <v>480</v>
      </c>
      <c r="I178" s="558" t="s">
        <v>993</v>
      </c>
      <c r="J178" s="556"/>
    </row>
    <row r="179" spans="1:10">
      <c r="A179" s="1143" t="s">
        <v>378</v>
      </c>
      <c r="B179" s="1143"/>
      <c r="C179" s="1143"/>
      <c r="D179" s="1143" t="s">
        <v>1228</v>
      </c>
      <c r="E179" s="1143"/>
      <c r="F179" s="1143"/>
      <c r="G179" s="558" t="s">
        <v>1229</v>
      </c>
      <c r="H179" s="558" t="s">
        <v>72</v>
      </c>
      <c r="I179" s="558" t="s">
        <v>72</v>
      </c>
      <c r="J179" s="556"/>
    </row>
    <row r="180" spans="1:10">
      <c r="A180" s="1143" t="s">
        <v>68</v>
      </c>
      <c r="B180" s="1143"/>
      <c r="C180" s="1143"/>
      <c r="D180" s="1143" t="s">
        <v>68</v>
      </c>
      <c r="E180" s="1143"/>
      <c r="F180" s="1143"/>
      <c r="G180" s="558" t="s">
        <v>68</v>
      </c>
      <c r="H180" s="558" t="s">
        <v>68</v>
      </c>
      <c r="I180" s="558" t="s">
        <v>68</v>
      </c>
      <c r="J180" s="556"/>
    </row>
    <row r="181" spans="1:10">
      <c r="A181" s="1143" t="s">
        <v>522</v>
      </c>
      <c r="B181" s="1143"/>
      <c r="C181" s="1143"/>
      <c r="D181" s="1143" t="s">
        <v>1230</v>
      </c>
      <c r="E181" s="1143"/>
      <c r="F181" s="1143"/>
      <c r="G181" s="558" t="s">
        <v>1231</v>
      </c>
      <c r="H181" s="558" t="s">
        <v>72</v>
      </c>
      <c r="I181" s="558" t="s">
        <v>72</v>
      </c>
      <c r="J181" s="556"/>
    </row>
    <row r="182" spans="1:10">
      <c r="A182" s="1143" t="s">
        <v>68</v>
      </c>
      <c r="B182" s="1143"/>
      <c r="C182" s="1143"/>
      <c r="D182" s="1143" t="s">
        <v>68</v>
      </c>
      <c r="E182" s="1143"/>
      <c r="F182" s="1143"/>
      <c r="G182" s="558" t="s">
        <v>68</v>
      </c>
      <c r="H182" s="558" t="s">
        <v>68</v>
      </c>
      <c r="I182" s="558" t="s">
        <v>68</v>
      </c>
      <c r="J182" s="556"/>
    </row>
    <row r="183" spans="1:10">
      <c r="A183" s="1143" t="s">
        <v>524</v>
      </c>
      <c r="B183" s="1143"/>
      <c r="C183" s="1143"/>
      <c r="D183" s="1143" t="s">
        <v>68</v>
      </c>
      <c r="E183" s="1143"/>
      <c r="F183" s="1143"/>
      <c r="G183" s="558" t="s">
        <v>68</v>
      </c>
      <c r="H183" s="558" t="s">
        <v>68</v>
      </c>
      <c r="I183" s="558" t="s">
        <v>68</v>
      </c>
      <c r="J183" s="556"/>
    </row>
    <row r="184" spans="1:10">
      <c r="A184" s="1143" t="s">
        <v>525</v>
      </c>
      <c r="B184" s="1143"/>
      <c r="C184" s="1143"/>
      <c r="D184" s="1143" t="s">
        <v>1232</v>
      </c>
      <c r="E184" s="1143"/>
      <c r="F184" s="1143"/>
      <c r="G184" s="558" t="s">
        <v>989</v>
      </c>
      <c r="H184" s="558" t="s">
        <v>1232</v>
      </c>
      <c r="I184" s="558" t="s">
        <v>72</v>
      </c>
      <c r="J184" s="556"/>
    </row>
    <row r="185" spans="1:10">
      <c r="A185" s="1143" t="s">
        <v>528</v>
      </c>
      <c r="B185" s="1143"/>
      <c r="C185" s="1143"/>
      <c r="D185" s="1143" t="s">
        <v>1233</v>
      </c>
      <c r="E185" s="1143"/>
      <c r="F185" s="1143"/>
      <c r="G185" s="558" t="s">
        <v>530</v>
      </c>
      <c r="H185" s="558" t="s">
        <v>1234</v>
      </c>
      <c r="I185" s="558" t="s">
        <v>93</v>
      </c>
      <c r="J185" s="556"/>
    </row>
    <row r="186" spans="1:10">
      <c r="A186" s="1143" t="s">
        <v>477</v>
      </c>
      <c r="B186" s="1143"/>
      <c r="C186" s="1143"/>
      <c r="D186" s="1143" t="s">
        <v>1235</v>
      </c>
      <c r="E186" s="1143"/>
      <c r="F186" s="1143"/>
      <c r="G186" s="558" t="s">
        <v>471</v>
      </c>
      <c r="H186" s="558" t="s">
        <v>1236</v>
      </c>
      <c r="I186" s="558" t="s">
        <v>216</v>
      </c>
      <c r="J186" s="556"/>
    </row>
    <row r="187" spans="1:10">
      <c r="A187" s="1143" t="s">
        <v>450</v>
      </c>
      <c r="B187" s="1143"/>
      <c r="C187" s="1143"/>
      <c r="D187" s="1143" t="s">
        <v>1237</v>
      </c>
      <c r="E187" s="1143"/>
      <c r="F187" s="1143"/>
      <c r="G187" s="558" t="s">
        <v>1238</v>
      </c>
      <c r="H187" s="558" t="s">
        <v>1138</v>
      </c>
      <c r="I187" s="558" t="s">
        <v>113</v>
      </c>
      <c r="J187" s="556"/>
    </row>
    <row r="188" spans="1:10">
      <c r="A188" s="1143" t="s">
        <v>454</v>
      </c>
      <c r="B188" s="1143"/>
      <c r="C188" s="1143"/>
      <c r="D188" s="1143" t="s">
        <v>1239</v>
      </c>
      <c r="E188" s="1143"/>
      <c r="F188" s="1143"/>
      <c r="G188" s="558" t="s">
        <v>1240</v>
      </c>
      <c r="H188" s="558" t="s">
        <v>1241</v>
      </c>
      <c r="I188" s="558" t="s">
        <v>77</v>
      </c>
      <c r="J188" s="556"/>
    </row>
    <row r="189" spans="1:10">
      <c r="A189" s="1143" t="s">
        <v>459</v>
      </c>
      <c r="B189" s="1143"/>
      <c r="C189" s="1143"/>
      <c r="D189" s="1143" t="s">
        <v>1242</v>
      </c>
      <c r="E189" s="1143"/>
      <c r="F189" s="1143"/>
      <c r="G189" s="558" t="s">
        <v>1243</v>
      </c>
      <c r="H189" s="558" t="s">
        <v>1244</v>
      </c>
      <c r="I189" s="558" t="s">
        <v>532</v>
      </c>
      <c r="J189" s="556"/>
    </row>
    <row r="190" spans="1:10">
      <c r="A190" s="1143" t="s">
        <v>463</v>
      </c>
      <c r="B190" s="1143"/>
      <c r="C190" s="1143"/>
      <c r="D190" s="1143" t="s">
        <v>1245</v>
      </c>
      <c r="E190" s="1143"/>
      <c r="F190" s="1143"/>
      <c r="G190" s="558" t="s">
        <v>1246</v>
      </c>
      <c r="H190" s="558" t="s">
        <v>1247</v>
      </c>
      <c r="I190" s="558" t="s">
        <v>1141</v>
      </c>
      <c r="J190" s="556"/>
    </row>
    <row r="191" spans="1:10">
      <c r="A191" s="1143" t="s">
        <v>68</v>
      </c>
      <c r="B191" s="1143"/>
      <c r="C191" s="1143"/>
      <c r="D191" s="1143" t="s">
        <v>68</v>
      </c>
      <c r="E191" s="1143"/>
      <c r="F191" s="1143"/>
      <c r="G191" s="558" t="s">
        <v>68</v>
      </c>
      <c r="H191" s="558" t="s">
        <v>68</v>
      </c>
      <c r="I191" s="558" t="s">
        <v>68</v>
      </c>
      <c r="J191" s="556"/>
    </row>
    <row r="192" spans="1:10">
      <c r="A192" s="1143" t="s">
        <v>467</v>
      </c>
      <c r="B192" s="1143"/>
      <c r="C192" s="1143"/>
      <c r="D192" s="1143" t="s">
        <v>1248</v>
      </c>
      <c r="E192" s="1143"/>
      <c r="F192" s="1143"/>
      <c r="G192" s="558" t="s">
        <v>1249</v>
      </c>
      <c r="H192" s="558" t="s">
        <v>72</v>
      </c>
      <c r="I192" s="558" t="s">
        <v>72</v>
      </c>
      <c r="J192" s="556"/>
    </row>
    <row r="193" spans="1:10">
      <c r="A193" s="556" t="s">
        <v>68</v>
      </c>
      <c r="B193" s="1144" t="s">
        <v>551</v>
      </c>
      <c r="C193" s="1144"/>
      <c r="D193" s="1144"/>
      <c r="E193" s="1144"/>
      <c r="F193" s="556"/>
      <c r="G193" s="556"/>
      <c r="H193" s="556"/>
      <c r="I193" s="556"/>
      <c r="J193" s="556"/>
    </row>
    <row r="194" spans="1:10">
      <c r="A194" s="556"/>
      <c r="B194" s="1144"/>
      <c r="C194" s="1144"/>
      <c r="D194" s="1144"/>
      <c r="E194" s="1144"/>
      <c r="F194" s="556"/>
      <c r="G194" s="556"/>
      <c r="H194" s="556"/>
      <c r="I194" s="556"/>
      <c r="J194" s="556"/>
    </row>
    <row r="195" spans="1:10">
      <c r="A195" s="556" t="s">
        <v>68</v>
      </c>
      <c r="B195" s="1144" t="s">
        <v>552</v>
      </c>
      <c r="C195" s="1144"/>
      <c r="D195" s="1144"/>
      <c r="E195" s="1144"/>
      <c r="F195" s="556"/>
      <c r="G195" s="556"/>
      <c r="H195" s="556"/>
      <c r="I195" s="556"/>
      <c r="J195" s="556"/>
    </row>
    <row r="196" spans="1:10">
      <c r="A196" s="556"/>
      <c r="B196" s="1144"/>
      <c r="C196" s="1144"/>
      <c r="D196" s="1144"/>
      <c r="E196" s="1144"/>
      <c r="F196" s="556"/>
      <c r="G196" s="556"/>
      <c r="H196" s="556"/>
      <c r="I196" s="556"/>
      <c r="J196" s="556"/>
    </row>
    <row r="197" spans="1:10">
      <c r="A197" s="556" t="s">
        <v>68</v>
      </c>
      <c r="B197" s="1144" t="s">
        <v>553</v>
      </c>
      <c r="C197" s="1144"/>
      <c r="D197" s="1144"/>
      <c r="E197" s="1144"/>
      <c r="F197" s="556"/>
      <c r="G197" s="556"/>
      <c r="H197" s="556"/>
      <c r="I197" s="556"/>
      <c r="J197" s="556"/>
    </row>
    <row r="198" spans="1:10">
      <c r="A198" s="556"/>
      <c r="B198" s="1144"/>
      <c r="C198" s="1144"/>
      <c r="D198" s="1144"/>
      <c r="E198" s="1144"/>
      <c r="F198" s="556"/>
      <c r="G198" s="556"/>
      <c r="H198" s="556"/>
      <c r="I198" s="556"/>
      <c r="J198" s="556"/>
    </row>
    <row r="199" spans="1:10">
      <c r="A199" s="556" t="s">
        <v>68</v>
      </c>
      <c r="B199" s="1144" t="s">
        <v>554</v>
      </c>
      <c r="C199" s="1144"/>
      <c r="D199" s="1144"/>
      <c r="E199" s="1144"/>
      <c r="F199" s="556"/>
      <c r="G199" s="556"/>
      <c r="H199" s="556"/>
      <c r="I199" s="556"/>
      <c r="J199" s="556"/>
    </row>
    <row r="200" spans="1:10">
      <c r="A200" s="556"/>
      <c r="B200" s="1144"/>
      <c r="C200" s="1144"/>
      <c r="D200" s="1144"/>
      <c r="E200" s="1144"/>
      <c r="F200" s="556"/>
      <c r="G200" s="556"/>
      <c r="H200" s="556"/>
      <c r="I200" s="556"/>
      <c r="J200" s="556"/>
    </row>
    <row r="201" spans="1:10">
      <c r="A201" s="556" t="s">
        <v>68</v>
      </c>
      <c r="B201" s="1144" t="s">
        <v>555</v>
      </c>
      <c r="C201" s="1144"/>
      <c r="D201" s="1144"/>
      <c r="E201" s="1144"/>
      <c r="F201" s="556"/>
      <c r="G201" s="556"/>
      <c r="H201" s="556"/>
      <c r="I201" s="556"/>
      <c r="J201" s="556"/>
    </row>
    <row r="202" spans="1:10">
      <c r="A202" s="556"/>
      <c r="B202" s="1144"/>
      <c r="C202" s="1144"/>
      <c r="D202" s="1144"/>
      <c r="E202" s="1144"/>
      <c r="F202" s="556"/>
      <c r="G202" s="556"/>
      <c r="H202" s="556"/>
      <c r="I202" s="556"/>
      <c r="J202" s="556"/>
    </row>
    <row r="203" spans="1:10">
      <c r="A203" s="556" t="s">
        <v>68</v>
      </c>
      <c r="B203" s="1144" t="s">
        <v>1250</v>
      </c>
      <c r="C203" s="1144"/>
      <c r="D203" s="1144"/>
      <c r="E203" s="1144"/>
      <c r="F203" s="556"/>
      <c r="G203" s="556"/>
      <c r="H203" s="556"/>
      <c r="I203" s="556"/>
      <c r="J203" s="556"/>
    </row>
    <row r="204" spans="1:10">
      <c r="A204" s="556"/>
      <c r="B204" s="1144"/>
      <c r="C204" s="1144"/>
      <c r="D204" s="1144"/>
      <c r="E204" s="1144"/>
      <c r="F204" s="556"/>
      <c r="G204" s="556"/>
      <c r="H204" s="556"/>
      <c r="I204" s="556"/>
      <c r="J204" s="556"/>
    </row>
    <row r="205" spans="1:10">
      <c r="A205" s="556" t="s">
        <v>68</v>
      </c>
      <c r="B205" s="1144" t="s">
        <v>1251</v>
      </c>
      <c r="C205" s="1144"/>
      <c r="D205" s="1144"/>
      <c r="E205" s="1144"/>
      <c r="F205" s="556"/>
      <c r="G205" s="556"/>
      <c r="H205" s="556"/>
      <c r="I205" s="556"/>
      <c r="J205" s="556"/>
    </row>
    <row r="206" spans="1:10">
      <c r="A206" s="556"/>
      <c r="B206" s="1144"/>
      <c r="C206" s="1144"/>
      <c r="D206" s="1144"/>
      <c r="E206" s="1144"/>
      <c r="F206" s="556"/>
      <c r="G206" s="556"/>
      <c r="H206" s="556"/>
      <c r="I206" s="556"/>
      <c r="J206" s="556"/>
    </row>
    <row r="207" spans="1:10">
      <c r="A207" s="556" t="s">
        <v>68</v>
      </c>
      <c r="B207" s="1144" t="s">
        <v>1252</v>
      </c>
      <c r="C207" s="1144"/>
      <c r="D207" s="1144"/>
      <c r="E207" s="1144"/>
      <c r="F207" s="556"/>
      <c r="G207" s="556"/>
      <c r="H207" s="556"/>
      <c r="I207" s="556"/>
      <c r="J207" s="556"/>
    </row>
    <row r="208" spans="1:10">
      <c r="A208" s="556"/>
      <c r="B208" s="1144"/>
      <c r="C208" s="1144"/>
      <c r="D208" s="1144"/>
      <c r="E208" s="1144"/>
      <c r="F208" s="556"/>
      <c r="G208" s="556"/>
      <c r="H208" s="556"/>
      <c r="I208" s="556"/>
      <c r="J208" s="556"/>
    </row>
    <row r="209" spans="1:10">
      <c r="A209" s="556" t="s">
        <v>68</v>
      </c>
      <c r="B209" s="1144" t="s">
        <v>560</v>
      </c>
      <c r="C209" s="1144"/>
      <c r="D209" s="1144"/>
      <c r="E209" s="1144"/>
      <c r="F209" s="556"/>
      <c r="G209" s="556"/>
      <c r="H209" s="556"/>
      <c r="I209" s="556"/>
      <c r="J209" s="556"/>
    </row>
    <row r="210" spans="1:10">
      <c r="A210" s="556"/>
      <c r="B210" s="1144"/>
      <c r="C210" s="1144"/>
      <c r="D210" s="1144"/>
      <c r="E210" s="1144"/>
      <c r="F210" s="556"/>
      <c r="G210" s="556"/>
      <c r="H210" s="556"/>
      <c r="I210" s="556"/>
      <c r="J210" s="556"/>
    </row>
    <row r="211" spans="1:10">
      <c r="A211" s="556" t="s">
        <v>68</v>
      </c>
      <c r="B211" s="1144" t="s">
        <v>1253</v>
      </c>
      <c r="C211" s="1144"/>
      <c r="D211" s="1144"/>
      <c r="E211" s="1144"/>
      <c r="F211" s="556"/>
      <c r="G211" s="556"/>
      <c r="H211" s="556"/>
      <c r="I211" s="556"/>
      <c r="J211" s="556"/>
    </row>
    <row r="212" spans="1:10">
      <c r="A212" s="556"/>
      <c r="B212" s="1144"/>
      <c r="C212" s="1144"/>
      <c r="D212" s="1144"/>
      <c r="E212" s="1144"/>
      <c r="F212" s="556"/>
      <c r="G212" s="556"/>
      <c r="H212" s="556"/>
      <c r="I212" s="556"/>
      <c r="J212" s="556"/>
    </row>
    <row r="213" spans="1:10">
      <c r="A213" s="556" t="s">
        <v>68</v>
      </c>
      <c r="B213" s="1144" t="s">
        <v>1254</v>
      </c>
      <c r="C213" s="1144"/>
      <c r="D213" s="1144"/>
      <c r="E213" s="1144"/>
      <c r="F213" s="556"/>
      <c r="G213" s="556"/>
      <c r="H213" s="556"/>
      <c r="I213" s="556"/>
      <c r="J213" s="556"/>
    </row>
    <row r="214" spans="1:10">
      <c r="A214" s="556"/>
      <c r="B214" s="1144"/>
      <c r="C214" s="1144"/>
      <c r="D214" s="1144"/>
      <c r="E214" s="1144"/>
      <c r="F214" s="556"/>
      <c r="G214" s="556"/>
      <c r="H214" s="556"/>
      <c r="I214" s="556"/>
      <c r="J214" s="556"/>
    </row>
    <row r="215" spans="1:10">
      <c r="A215" s="556" t="s">
        <v>68</v>
      </c>
      <c r="B215" s="1144" t="s">
        <v>1255</v>
      </c>
      <c r="C215" s="1144"/>
      <c r="D215" s="1144"/>
      <c r="E215" s="1144"/>
      <c r="F215" s="556"/>
      <c r="G215" s="556"/>
      <c r="H215" s="556"/>
      <c r="I215" s="556"/>
      <c r="J215" s="556"/>
    </row>
    <row r="216" spans="1:10">
      <c r="A216" s="556"/>
      <c r="B216" s="1144"/>
      <c r="C216" s="1144"/>
      <c r="D216" s="1144"/>
      <c r="E216" s="1144"/>
      <c r="F216" s="556"/>
      <c r="G216" s="556"/>
      <c r="H216" s="556"/>
      <c r="I216" s="556"/>
      <c r="J216" s="556"/>
    </row>
  </sheetData>
  <mergeCells count="383">
    <mergeCell ref="B209:E210"/>
    <mergeCell ref="B211:E212"/>
    <mergeCell ref="B213:E214"/>
    <mergeCell ref="B215:E216"/>
    <mergeCell ref="B197:E198"/>
    <mergeCell ref="B199:E200"/>
    <mergeCell ref="B201:E202"/>
    <mergeCell ref="B203:E204"/>
    <mergeCell ref="B205:E206"/>
    <mergeCell ref="B207:E208"/>
    <mergeCell ref="A191:C191"/>
    <mergeCell ref="D191:F191"/>
    <mergeCell ref="A192:C192"/>
    <mergeCell ref="D192:F192"/>
    <mergeCell ref="B193:E194"/>
    <mergeCell ref="B195:E196"/>
    <mergeCell ref="A188:C188"/>
    <mergeCell ref="D188:F188"/>
    <mergeCell ref="A189:C189"/>
    <mergeCell ref="D189:F189"/>
    <mergeCell ref="A190:C190"/>
    <mergeCell ref="D190:F190"/>
    <mergeCell ref="A185:C185"/>
    <mergeCell ref="D185:F185"/>
    <mergeCell ref="A186:C186"/>
    <mergeCell ref="D186:F186"/>
    <mergeCell ref="A187:C187"/>
    <mergeCell ref="D187:F187"/>
    <mergeCell ref="A182:C182"/>
    <mergeCell ref="D182:F182"/>
    <mergeCell ref="A183:C183"/>
    <mergeCell ref="D183:F183"/>
    <mergeCell ref="A184:C184"/>
    <mergeCell ref="D184:F184"/>
    <mergeCell ref="A179:C179"/>
    <mergeCell ref="D179:F179"/>
    <mergeCell ref="A180:C180"/>
    <mergeCell ref="D180:F180"/>
    <mergeCell ref="A181:C181"/>
    <mergeCell ref="D181:F181"/>
    <mergeCell ref="A176:C176"/>
    <mergeCell ref="D176:F176"/>
    <mergeCell ref="A177:C177"/>
    <mergeCell ref="D177:F177"/>
    <mergeCell ref="A178:C178"/>
    <mergeCell ref="D178:F178"/>
    <mergeCell ref="A173:C173"/>
    <mergeCell ref="D173:F173"/>
    <mergeCell ref="A174:C174"/>
    <mergeCell ref="D174:F174"/>
    <mergeCell ref="A175:C175"/>
    <mergeCell ref="D175:F175"/>
    <mergeCell ref="A170:C170"/>
    <mergeCell ref="D170:F170"/>
    <mergeCell ref="A171:C171"/>
    <mergeCell ref="D171:F171"/>
    <mergeCell ref="A172:C172"/>
    <mergeCell ref="D172:F172"/>
    <mergeCell ref="A167:C167"/>
    <mergeCell ref="D167:F167"/>
    <mergeCell ref="A168:C168"/>
    <mergeCell ref="D168:F168"/>
    <mergeCell ref="A169:C169"/>
    <mergeCell ref="D169:F169"/>
    <mergeCell ref="A164:C164"/>
    <mergeCell ref="D164:F164"/>
    <mergeCell ref="A165:C165"/>
    <mergeCell ref="D165:F165"/>
    <mergeCell ref="A166:C166"/>
    <mergeCell ref="D166:F166"/>
    <mergeCell ref="A161:C161"/>
    <mergeCell ref="D161:F161"/>
    <mergeCell ref="A162:C162"/>
    <mergeCell ref="D162:F162"/>
    <mergeCell ref="A163:C163"/>
    <mergeCell ref="D163:F163"/>
    <mergeCell ref="A158:C158"/>
    <mergeCell ref="D158:F158"/>
    <mergeCell ref="A159:C159"/>
    <mergeCell ref="D159:F159"/>
    <mergeCell ref="A160:C160"/>
    <mergeCell ref="D160:F160"/>
    <mergeCell ref="A155:C155"/>
    <mergeCell ref="D155:F155"/>
    <mergeCell ref="A156:C156"/>
    <mergeCell ref="D156:F156"/>
    <mergeCell ref="A157:C157"/>
    <mergeCell ref="D157:F157"/>
    <mergeCell ref="A152:C152"/>
    <mergeCell ref="D152:F152"/>
    <mergeCell ref="A153:C153"/>
    <mergeCell ref="D153:F153"/>
    <mergeCell ref="A154:C154"/>
    <mergeCell ref="D154:F154"/>
    <mergeCell ref="A149:C149"/>
    <mergeCell ref="D149:F149"/>
    <mergeCell ref="A150:C150"/>
    <mergeCell ref="D150:F150"/>
    <mergeCell ref="A151:C151"/>
    <mergeCell ref="D151:F151"/>
    <mergeCell ref="A146:C146"/>
    <mergeCell ref="D146:F146"/>
    <mergeCell ref="A147:C147"/>
    <mergeCell ref="D147:F147"/>
    <mergeCell ref="A148:C148"/>
    <mergeCell ref="D148:F148"/>
    <mergeCell ref="A143:C143"/>
    <mergeCell ref="D143:F143"/>
    <mergeCell ref="A144:C144"/>
    <mergeCell ref="D144:F144"/>
    <mergeCell ref="A145:C145"/>
    <mergeCell ref="D145:F145"/>
    <mergeCell ref="A140:C140"/>
    <mergeCell ref="D140:F140"/>
    <mergeCell ref="A141:C141"/>
    <mergeCell ref="D141:F141"/>
    <mergeCell ref="A142:C142"/>
    <mergeCell ref="D142:F142"/>
    <mergeCell ref="A137:C137"/>
    <mergeCell ref="D137:F137"/>
    <mergeCell ref="A138:C138"/>
    <mergeCell ref="D138:F138"/>
    <mergeCell ref="A139:C139"/>
    <mergeCell ref="D139:F139"/>
    <mergeCell ref="A134:C134"/>
    <mergeCell ref="D134:F134"/>
    <mergeCell ref="A135:C135"/>
    <mergeCell ref="D135:F135"/>
    <mergeCell ref="A136:C136"/>
    <mergeCell ref="D136:F136"/>
    <mergeCell ref="A131:C131"/>
    <mergeCell ref="D131:F131"/>
    <mergeCell ref="A132:C132"/>
    <mergeCell ref="D132:F132"/>
    <mergeCell ref="A133:C133"/>
    <mergeCell ref="D133:F133"/>
    <mergeCell ref="A128:C128"/>
    <mergeCell ref="D128:F128"/>
    <mergeCell ref="A129:C129"/>
    <mergeCell ref="D129:F129"/>
    <mergeCell ref="A130:C130"/>
    <mergeCell ref="D130:F130"/>
    <mergeCell ref="A125:C125"/>
    <mergeCell ref="D125:F125"/>
    <mergeCell ref="A126:C126"/>
    <mergeCell ref="D126:F126"/>
    <mergeCell ref="A127:C127"/>
    <mergeCell ref="D127:F127"/>
    <mergeCell ref="A122:C122"/>
    <mergeCell ref="D122:F122"/>
    <mergeCell ref="A123:C123"/>
    <mergeCell ref="D123:F123"/>
    <mergeCell ref="A124:C124"/>
    <mergeCell ref="D124:F124"/>
    <mergeCell ref="A119:C119"/>
    <mergeCell ref="D119:F119"/>
    <mergeCell ref="A120:C120"/>
    <mergeCell ref="D120:F120"/>
    <mergeCell ref="A121:C121"/>
    <mergeCell ref="D121:F121"/>
    <mergeCell ref="A116:C116"/>
    <mergeCell ref="D116:F116"/>
    <mergeCell ref="A117:C117"/>
    <mergeCell ref="D117:F117"/>
    <mergeCell ref="A118:C118"/>
    <mergeCell ref="D118:F118"/>
    <mergeCell ref="A113:C113"/>
    <mergeCell ref="D113:F113"/>
    <mergeCell ref="A114:C114"/>
    <mergeCell ref="D114:F114"/>
    <mergeCell ref="A115:C115"/>
    <mergeCell ref="D115:F115"/>
    <mergeCell ref="A110:C110"/>
    <mergeCell ref="D110:F110"/>
    <mergeCell ref="A111:C111"/>
    <mergeCell ref="D111:F111"/>
    <mergeCell ref="A112:C112"/>
    <mergeCell ref="D112:F112"/>
    <mergeCell ref="A107:C107"/>
    <mergeCell ref="D107:F107"/>
    <mergeCell ref="A108:C108"/>
    <mergeCell ref="D108:F108"/>
    <mergeCell ref="A109:C109"/>
    <mergeCell ref="D109:F109"/>
    <mergeCell ref="A104:C104"/>
    <mergeCell ref="D104:F104"/>
    <mergeCell ref="A105:C105"/>
    <mergeCell ref="D105:F105"/>
    <mergeCell ref="A106:C106"/>
    <mergeCell ref="D106:F106"/>
    <mergeCell ref="A101:C101"/>
    <mergeCell ref="D101:F101"/>
    <mergeCell ref="A102:C102"/>
    <mergeCell ref="D102:F102"/>
    <mergeCell ref="A103:C103"/>
    <mergeCell ref="D103:F103"/>
    <mergeCell ref="A98:C98"/>
    <mergeCell ref="D98:F98"/>
    <mergeCell ref="A99:C99"/>
    <mergeCell ref="D99:F99"/>
    <mergeCell ref="A100:C100"/>
    <mergeCell ref="D100:F100"/>
    <mergeCell ref="A95:C95"/>
    <mergeCell ref="D95:F95"/>
    <mergeCell ref="A96:C96"/>
    <mergeCell ref="D96:F96"/>
    <mergeCell ref="A97:C97"/>
    <mergeCell ref="D97:F97"/>
    <mergeCell ref="A92:C92"/>
    <mergeCell ref="D92:F92"/>
    <mergeCell ref="A93:C93"/>
    <mergeCell ref="D93:F93"/>
    <mergeCell ref="A94:C94"/>
    <mergeCell ref="D94:F94"/>
    <mergeCell ref="A89:C89"/>
    <mergeCell ref="D89:F89"/>
    <mergeCell ref="A90:C90"/>
    <mergeCell ref="D90:F90"/>
    <mergeCell ref="A91:C91"/>
    <mergeCell ref="D91:F91"/>
    <mergeCell ref="A86:C86"/>
    <mergeCell ref="D86:F86"/>
    <mergeCell ref="A87:C87"/>
    <mergeCell ref="D87:F87"/>
    <mergeCell ref="A88:C88"/>
    <mergeCell ref="D88:F88"/>
    <mergeCell ref="A83:C83"/>
    <mergeCell ref="D83:F83"/>
    <mergeCell ref="A84:C84"/>
    <mergeCell ref="D84:F84"/>
    <mergeCell ref="A85:C85"/>
    <mergeCell ref="D85:F85"/>
    <mergeCell ref="A80:C80"/>
    <mergeCell ref="D80:F80"/>
    <mergeCell ref="A81:C81"/>
    <mergeCell ref="D81:F81"/>
    <mergeCell ref="A82:C82"/>
    <mergeCell ref="D82:F82"/>
    <mergeCell ref="A77:C77"/>
    <mergeCell ref="D77:F77"/>
    <mergeCell ref="A78:C78"/>
    <mergeCell ref="D78:F78"/>
    <mergeCell ref="A79:C79"/>
    <mergeCell ref="D79:F79"/>
    <mergeCell ref="A74:C74"/>
    <mergeCell ref="D74:F74"/>
    <mergeCell ref="A75:C75"/>
    <mergeCell ref="D75:F75"/>
    <mergeCell ref="A76:C76"/>
    <mergeCell ref="D76:F76"/>
    <mergeCell ref="A71:C71"/>
    <mergeCell ref="D71:F71"/>
    <mergeCell ref="A72:C72"/>
    <mergeCell ref="D72:F72"/>
    <mergeCell ref="A73:C73"/>
    <mergeCell ref="D73:F73"/>
    <mergeCell ref="A68:C68"/>
    <mergeCell ref="D68:F68"/>
    <mergeCell ref="A69:C69"/>
    <mergeCell ref="D69:F69"/>
    <mergeCell ref="A70:C70"/>
    <mergeCell ref="D70:F70"/>
    <mergeCell ref="A65:C65"/>
    <mergeCell ref="D65:F65"/>
    <mergeCell ref="A66:C66"/>
    <mergeCell ref="D66:F66"/>
    <mergeCell ref="A67:C67"/>
    <mergeCell ref="D67:F67"/>
    <mergeCell ref="A62:C62"/>
    <mergeCell ref="D62:F62"/>
    <mergeCell ref="A63:C63"/>
    <mergeCell ref="D63:F63"/>
    <mergeCell ref="A64:C64"/>
    <mergeCell ref="D64:F64"/>
    <mergeCell ref="A59:C59"/>
    <mergeCell ref="D59:F59"/>
    <mergeCell ref="A60:C60"/>
    <mergeCell ref="D60:F60"/>
    <mergeCell ref="A61:C61"/>
    <mergeCell ref="D61:F61"/>
    <mergeCell ref="A56:C56"/>
    <mergeCell ref="D56:F56"/>
    <mergeCell ref="A57:C57"/>
    <mergeCell ref="D57:F57"/>
    <mergeCell ref="A58:C58"/>
    <mergeCell ref="D58:F58"/>
    <mergeCell ref="A53:C53"/>
    <mergeCell ref="D53:F53"/>
    <mergeCell ref="A54:C54"/>
    <mergeCell ref="D54:F54"/>
    <mergeCell ref="A55:C55"/>
    <mergeCell ref="D55:F55"/>
    <mergeCell ref="A50:C50"/>
    <mergeCell ref="D50:F50"/>
    <mergeCell ref="A51:C51"/>
    <mergeCell ref="D51:F51"/>
    <mergeCell ref="A52:C52"/>
    <mergeCell ref="D52:F52"/>
    <mergeCell ref="A47:C47"/>
    <mergeCell ref="D47:F47"/>
    <mergeCell ref="A48:C48"/>
    <mergeCell ref="D48:F48"/>
    <mergeCell ref="A49:C49"/>
    <mergeCell ref="D49:F49"/>
    <mergeCell ref="A44:C44"/>
    <mergeCell ref="D44:F44"/>
    <mergeCell ref="A45:C45"/>
    <mergeCell ref="D45:F45"/>
    <mergeCell ref="A46:C46"/>
    <mergeCell ref="D46:F46"/>
    <mergeCell ref="A41:C41"/>
    <mergeCell ref="D41:F41"/>
    <mergeCell ref="A42:C42"/>
    <mergeCell ref="D42:F42"/>
    <mergeCell ref="A43:C43"/>
    <mergeCell ref="D43:F43"/>
    <mergeCell ref="A38:C38"/>
    <mergeCell ref="D38:F38"/>
    <mergeCell ref="A39:C39"/>
    <mergeCell ref="D39:F39"/>
    <mergeCell ref="A40:C40"/>
    <mergeCell ref="D40:F40"/>
    <mergeCell ref="A35:C35"/>
    <mergeCell ref="D35:F35"/>
    <mergeCell ref="A36:C36"/>
    <mergeCell ref="D36:F36"/>
    <mergeCell ref="A37:C37"/>
    <mergeCell ref="D37:F37"/>
    <mergeCell ref="A32:C32"/>
    <mergeCell ref="D32:F32"/>
    <mergeCell ref="A33:C33"/>
    <mergeCell ref="D33:F33"/>
    <mergeCell ref="A34:C34"/>
    <mergeCell ref="D34:F34"/>
    <mergeCell ref="A29:C29"/>
    <mergeCell ref="D29:F29"/>
    <mergeCell ref="A30:C30"/>
    <mergeCell ref="D30:F30"/>
    <mergeCell ref="A31:C31"/>
    <mergeCell ref="D31:F31"/>
    <mergeCell ref="A26:C26"/>
    <mergeCell ref="D26:F26"/>
    <mergeCell ref="A27:C27"/>
    <mergeCell ref="D27:F27"/>
    <mergeCell ref="A28:C28"/>
    <mergeCell ref="D28:F28"/>
    <mergeCell ref="A23:C23"/>
    <mergeCell ref="D23:F23"/>
    <mergeCell ref="A24:C24"/>
    <mergeCell ref="D24:F24"/>
    <mergeCell ref="A25:C25"/>
    <mergeCell ref="D25:F25"/>
    <mergeCell ref="A20:C20"/>
    <mergeCell ref="D20:F20"/>
    <mergeCell ref="A21:C21"/>
    <mergeCell ref="D21:F21"/>
    <mergeCell ref="A22:C22"/>
    <mergeCell ref="D22:F22"/>
    <mergeCell ref="A17:C17"/>
    <mergeCell ref="D17:F17"/>
    <mergeCell ref="A18:C18"/>
    <mergeCell ref="D18:F18"/>
    <mergeCell ref="A19:C19"/>
    <mergeCell ref="D19:F19"/>
    <mergeCell ref="A14:C14"/>
    <mergeCell ref="D14:F14"/>
    <mergeCell ref="A15:C15"/>
    <mergeCell ref="D15:F15"/>
    <mergeCell ref="A16:C16"/>
    <mergeCell ref="D16:F16"/>
    <mergeCell ref="D10:F10"/>
    <mergeCell ref="A11:C11"/>
    <mergeCell ref="D11:F11"/>
    <mergeCell ref="A12:C12"/>
    <mergeCell ref="D12:F12"/>
    <mergeCell ref="A13:C13"/>
    <mergeCell ref="D13:F13"/>
    <mergeCell ref="A3:D3"/>
    <mergeCell ref="A4:D4"/>
    <mergeCell ref="A9:C9"/>
    <mergeCell ref="D9:I9"/>
    <mergeCell ref="B7:I8"/>
    <mergeCell ref="B5:I6"/>
  </mergeCells>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J172"/>
  <sheetViews>
    <sheetView topLeftCell="A13" workbookViewId="0">
      <selection activeCell="D18" sqref="D18:F18"/>
    </sheetView>
  </sheetViews>
  <sheetFormatPr defaultRowHeight="15"/>
  <cols>
    <col min="1" max="6" width="14.140625" bestFit="1" customWidth="1"/>
  </cols>
  <sheetData>
    <row r="1" spans="1:10">
      <c r="A1" s="900" t="s">
        <v>2256</v>
      </c>
      <c r="B1" s="901"/>
      <c r="C1" s="902"/>
      <c r="D1" s="12"/>
      <c r="E1" s="12"/>
      <c r="F1" s="12"/>
      <c r="G1" s="12"/>
    </row>
    <row r="2" spans="1:10">
      <c r="A2" s="12"/>
      <c r="B2" s="12"/>
      <c r="C2" s="12"/>
      <c r="D2" s="12"/>
      <c r="E2" s="12"/>
      <c r="F2" s="12"/>
      <c r="G2" s="12"/>
    </row>
    <row r="3" spans="1:10">
      <c r="A3" s="1144" t="s">
        <v>1256</v>
      </c>
      <c r="B3" s="1144"/>
      <c r="C3" s="1144"/>
      <c r="D3" s="1144"/>
      <c r="E3" s="556"/>
      <c r="F3" s="556"/>
      <c r="G3" s="556"/>
      <c r="H3" s="556"/>
      <c r="I3" s="556"/>
      <c r="J3" s="556"/>
    </row>
    <row r="4" spans="1:10" ht="14.25" customHeight="1">
      <c r="A4" s="1144" t="s">
        <v>1257</v>
      </c>
      <c r="B4" s="1144"/>
      <c r="C4" s="1144"/>
      <c r="D4" s="1144"/>
      <c r="E4" s="1144"/>
      <c r="F4" s="1144"/>
      <c r="G4" s="1144"/>
      <c r="H4" s="1144"/>
      <c r="I4" s="1144"/>
      <c r="J4" s="556"/>
    </row>
    <row r="5" spans="1:10" ht="13.5" customHeight="1">
      <c r="A5" s="556" t="s">
        <v>68</v>
      </c>
      <c r="B5" s="1144" t="s">
        <v>1258</v>
      </c>
      <c r="C5" s="1144"/>
      <c r="D5" s="1144"/>
      <c r="E5" s="1144"/>
      <c r="F5" s="1144"/>
      <c r="G5" s="1144"/>
      <c r="H5" s="1144"/>
      <c r="I5" s="1144"/>
      <c r="J5" s="556"/>
    </row>
    <row r="6" spans="1:10" ht="93" customHeight="1">
      <c r="A6" s="556"/>
      <c r="B6" s="1146"/>
      <c r="C6" s="1146"/>
      <c r="D6" s="1146"/>
      <c r="E6" s="1146"/>
      <c r="F6" s="1146"/>
      <c r="G6" s="1146"/>
      <c r="H6" s="1146"/>
      <c r="I6" s="1146"/>
      <c r="J6" s="556"/>
    </row>
    <row r="7" spans="1:10">
      <c r="A7" s="1142" t="s">
        <v>1259</v>
      </c>
      <c r="B7" s="1142"/>
      <c r="C7" s="1142"/>
      <c r="D7" s="1143" t="s">
        <v>1260</v>
      </c>
      <c r="E7" s="1143"/>
      <c r="F7" s="1143"/>
      <c r="G7" s="1143"/>
      <c r="H7" s="1143" t="s">
        <v>65</v>
      </c>
      <c r="I7" s="1143"/>
      <c r="J7" s="556"/>
    </row>
    <row r="8" spans="1:10" ht="25.5">
      <c r="A8" s="13"/>
      <c r="B8" s="557"/>
      <c r="C8" s="15"/>
      <c r="D8" s="1143" t="s">
        <v>63</v>
      </c>
      <c r="E8" s="1143"/>
      <c r="F8" s="1143"/>
      <c r="G8" s="558" t="s">
        <v>64</v>
      </c>
      <c r="H8" s="558" t="s">
        <v>63</v>
      </c>
      <c r="I8" s="558" t="s">
        <v>64</v>
      </c>
      <c r="J8" s="556"/>
    </row>
    <row r="9" spans="1:10">
      <c r="A9" s="1143" t="s">
        <v>67</v>
      </c>
      <c r="B9" s="1143"/>
      <c r="C9" s="1143"/>
      <c r="D9" s="1143" t="s">
        <v>68</v>
      </c>
      <c r="E9" s="1143"/>
      <c r="F9" s="1143"/>
      <c r="G9" s="558" t="s">
        <v>68</v>
      </c>
      <c r="H9" s="558" t="s">
        <v>68</v>
      </c>
      <c r="I9" s="558" t="s">
        <v>68</v>
      </c>
      <c r="J9" s="556"/>
    </row>
    <row r="10" spans="1:10">
      <c r="A10" s="1143" t="s">
        <v>1261</v>
      </c>
      <c r="B10" s="1143"/>
      <c r="C10" s="1143"/>
      <c r="D10" s="1143" t="s">
        <v>1262</v>
      </c>
      <c r="E10" s="1143"/>
      <c r="F10" s="1143"/>
      <c r="G10" s="558" t="s">
        <v>1263</v>
      </c>
      <c r="H10" s="558" t="s">
        <v>1262</v>
      </c>
      <c r="I10" s="558" t="s">
        <v>72</v>
      </c>
      <c r="J10" s="556"/>
    </row>
    <row r="11" spans="1:10">
      <c r="A11" s="1143" t="s">
        <v>236</v>
      </c>
      <c r="B11" s="1143"/>
      <c r="C11" s="1143"/>
      <c r="D11" s="1143" t="s">
        <v>1264</v>
      </c>
      <c r="E11" s="1143"/>
      <c r="F11" s="1143"/>
      <c r="G11" s="558" t="s">
        <v>1265</v>
      </c>
      <c r="H11" s="558" t="s">
        <v>1266</v>
      </c>
      <c r="I11" s="558" t="s">
        <v>221</v>
      </c>
      <c r="J11" s="556"/>
    </row>
    <row r="12" spans="1:10">
      <c r="A12" s="1143" t="s">
        <v>1267</v>
      </c>
      <c r="B12" s="1143"/>
      <c r="C12" s="1143"/>
      <c r="D12" s="1143" t="s">
        <v>1268</v>
      </c>
      <c r="E12" s="1143"/>
      <c r="F12" s="1143"/>
      <c r="G12" s="558" t="s">
        <v>1269</v>
      </c>
      <c r="H12" s="558" t="s">
        <v>457</v>
      </c>
      <c r="I12" s="558" t="s">
        <v>221</v>
      </c>
      <c r="J12" s="556"/>
    </row>
    <row r="13" spans="1:10">
      <c r="A13" s="1143" t="s">
        <v>1270</v>
      </c>
      <c r="B13" s="1143"/>
      <c r="C13" s="1143"/>
      <c r="D13" s="1143" t="s">
        <v>1271</v>
      </c>
      <c r="E13" s="1143"/>
      <c r="F13" s="1143"/>
      <c r="G13" s="558" t="s">
        <v>93</v>
      </c>
      <c r="H13" s="558" t="s">
        <v>72</v>
      </c>
      <c r="I13" s="558" t="s">
        <v>72</v>
      </c>
      <c r="J13" s="556"/>
    </row>
    <row r="14" spans="1:10">
      <c r="A14" s="1143" t="s">
        <v>1272</v>
      </c>
      <c r="B14" s="1143"/>
      <c r="C14" s="1143"/>
      <c r="D14" s="1143" t="s">
        <v>1273</v>
      </c>
      <c r="E14" s="1143"/>
      <c r="F14" s="1143"/>
      <c r="G14" s="558" t="s">
        <v>376</v>
      </c>
      <c r="H14" s="558" t="s">
        <v>72</v>
      </c>
      <c r="I14" s="558" t="s">
        <v>72</v>
      </c>
      <c r="J14" s="556"/>
    </row>
    <row r="15" spans="1:10">
      <c r="A15" s="1143" t="s">
        <v>88</v>
      </c>
      <c r="B15" s="1143"/>
      <c r="C15" s="1143"/>
      <c r="D15" s="1143" t="s">
        <v>68</v>
      </c>
      <c r="E15" s="1143"/>
      <c r="F15" s="1143"/>
      <c r="G15" s="558" t="s">
        <v>68</v>
      </c>
      <c r="H15" s="558" t="s">
        <v>68</v>
      </c>
      <c r="I15" s="558" t="s">
        <v>68</v>
      </c>
      <c r="J15" s="556"/>
    </row>
    <row r="16" spans="1:10">
      <c r="A16" s="1143" t="s">
        <v>1261</v>
      </c>
      <c r="B16" s="1143"/>
      <c r="C16" s="1143"/>
      <c r="D16" s="1143" t="s">
        <v>1262</v>
      </c>
      <c r="E16" s="1143"/>
      <c r="F16" s="1143"/>
      <c r="G16" s="558" t="s">
        <v>1263</v>
      </c>
      <c r="H16" s="558" t="s">
        <v>1262</v>
      </c>
      <c r="I16" s="558" t="s">
        <v>72</v>
      </c>
      <c r="J16" s="556"/>
    </row>
    <row r="17" spans="1:10">
      <c r="A17" s="1143" t="s">
        <v>89</v>
      </c>
      <c r="B17" s="1143"/>
      <c r="C17" s="1143"/>
      <c r="D17" s="1143" t="s">
        <v>1274</v>
      </c>
      <c r="E17" s="1143"/>
      <c r="F17" s="1143"/>
      <c r="G17" s="558" t="s">
        <v>1275</v>
      </c>
      <c r="H17" s="558" t="s">
        <v>225</v>
      </c>
      <c r="I17" s="558" t="s">
        <v>109</v>
      </c>
      <c r="J17" s="556"/>
    </row>
    <row r="18" spans="1:10">
      <c r="A18" s="1143" t="s">
        <v>94</v>
      </c>
      <c r="B18" s="1143"/>
      <c r="C18" s="1143"/>
      <c r="D18" s="1143" t="s">
        <v>1276</v>
      </c>
      <c r="E18" s="1143"/>
      <c r="F18" s="1143"/>
      <c r="G18" s="558" t="s">
        <v>1277</v>
      </c>
      <c r="H18" s="558" t="s">
        <v>1278</v>
      </c>
      <c r="I18" s="558" t="s">
        <v>196</v>
      </c>
      <c r="J18" s="556"/>
    </row>
    <row r="19" spans="1:10">
      <c r="A19" s="1143" t="s">
        <v>98</v>
      </c>
      <c r="B19" s="1143"/>
      <c r="C19" s="1143"/>
      <c r="D19" s="1143" t="s">
        <v>1279</v>
      </c>
      <c r="E19" s="1143"/>
      <c r="F19" s="1143"/>
      <c r="G19" s="558" t="s">
        <v>331</v>
      </c>
      <c r="H19" s="558" t="s">
        <v>1006</v>
      </c>
      <c r="I19" s="558" t="s">
        <v>87</v>
      </c>
      <c r="J19" s="556"/>
    </row>
    <row r="20" spans="1:10">
      <c r="A20" s="1143" t="s">
        <v>102</v>
      </c>
      <c r="B20" s="1143"/>
      <c r="C20" s="1143"/>
      <c r="D20" s="1143" t="s">
        <v>1280</v>
      </c>
      <c r="E20" s="1143"/>
      <c r="F20" s="1143"/>
      <c r="G20" s="558" t="s">
        <v>131</v>
      </c>
      <c r="H20" s="558" t="s">
        <v>1281</v>
      </c>
      <c r="I20" s="558" t="s">
        <v>133</v>
      </c>
      <c r="J20" s="556"/>
    </row>
    <row r="21" spans="1:10">
      <c r="A21" s="1143" t="s">
        <v>106</v>
      </c>
      <c r="B21" s="1143"/>
      <c r="C21" s="1143"/>
      <c r="D21" s="1143" t="s">
        <v>1282</v>
      </c>
      <c r="E21" s="1143"/>
      <c r="F21" s="1143"/>
      <c r="G21" s="558" t="s">
        <v>1283</v>
      </c>
      <c r="H21" s="558" t="s">
        <v>1012</v>
      </c>
      <c r="I21" s="558" t="s">
        <v>216</v>
      </c>
      <c r="J21" s="556"/>
    </row>
    <row r="22" spans="1:10">
      <c r="A22" s="1143" t="s">
        <v>110</v>
      </c>
      <c r="B22" s="1143"/>
      <c r="C22" s="1143"/>
      <c r="D22" s="1143" t="s">
        <v>1284</v>
      </c>
      <c r="E22" s="1143"/>
      <c r="F22" s="1143"/>
      <c r="G22" s="558" t="s">
        <v>1285</v>
      </c>
      <c r="H22" s="558" t="s">
        <v>1286</v>
      </c>
      <c r="I22" s="558" t="s">
        <v>150</v>
      </c>
      <c r="J22" s="556"/>
    </row>
    <row r="23" spans="1:10">
      <c r="A23" s="1143" t="s">
        <v>114</v>
      </c>
      <c r="B23" s="1143"/>
      <c r="C23" s="1143"/>
      <c r="D23" s="1143" t="s">
        <v>1287</v>
      </c>
      <c r="E23" s="1143"/>
      <c r="F23" s="1143"/>
      <c r="G23" s="558" t="s">
        <v>438</v>
      </c>
      <c r="H23" s="558" t="s">
        <v>504</v>
      </c>
      <c r="I23" s="558" t="s">
        <v>133</v>
      </c>
      <c r="J23" s="556"/>
    </row>
    <row r="24" spans="1:10">
      <c r="A24" s="1143" t="s">
        <v>118</v>
      </c>
      <c r="B24" s="1143"/>
      <c r="C24" s="1143"/>
      <c r="D24" s="1143" t="s">
        <v>1288</v>
      </c>
      <c r="E24" s="1143"/>
      <c r="F24" s="1143"/>
      <c r="G24" s="558" t="s">
        <v>1289</v>
      </c>
      <c r="H24" s="558" t="s">
        <v>1066</v>
      </c>
      <c r="I24" s="558" t="s">
        <v>87</v>
      </c>
      <c r="J24" s="556"/>
    </row>
    <row r="25" spans="1:10">
      <c r="A25" s="1143" t="s">
        <v>123</v>
      </c>
      <c r="B25" s="1143"/>
      <c r="C25" s="1143"/>
      <c r="D25" s="1143" t="s">
        <v>1120</v>
      </c>
      <c r="E25" s="1143"/>
      <c r="F25" s="1143"/>
      <c r="G25" s="558" t="s">
        <v>1290</v>
      </c>
      <c r="H25" s="558" t="s">
        <v>126</v>
      </c>
      <c r="I25" s="558" t="s">
        <v>208</v>
      </c>
      <c r="J25" s="556"/>
    </row>
    <row r="26" spans="1:10">
      <c r="A26" s="1143" t="s">
        <v>128</v>
      </c>
      <c r="B26" s="1143"/>
      <c r="C26" s="1143"/>
      <c r="D26" s="1143" t="s">
        <v>68</v>
      </c>
      <c r="E26" s="1143"/>
      <c r="F26" s="1143"/>
      <c r="G26" s="558" t="s">
        <v>68</v>
      </c>
      <c r="H26" s="558" t="s">
        <v>68</v>
      </c>
      <c r="I26" s="558" t="s">
        <v>68</v>
      </c>
      <c r="J26" s="556"/>
    </row>
    <row r="27" spans="1:10">
      <c r="A27" s="1143" t="s">
        <v>1261</v>
      </c>
      <c r="B27" s="1143"/>
      <c r="C27" s="1143"/>
      <c r="D27" s="1143" t="s">
        <v>1262</v>
      </c>
      <c r="E27" s="1143"/>
      <c r="F27" s="1143"/>
      <c r="G27" s="558" t="s">
        <v>1263</v>
      </c>
      <c r="H27" s="558" t="s">
        <v>1262</v>
      </c>
      <c r="I27" s="558" t="s">
        <v>72</v>
      </c>
      <c r="J27" s="556"/>
    </row>
    <row r="28" spans="1:10">
      <c r="A28" s="1143" t="s">
        <v>129</v>
      </c>
      <c r="B28" s="1143"/>
      <c r="C28" s="1143"/>
      <c r="D28" s="1143" t="s">
        <v>1291</v>
      </c>
      <c r="E28" s="1143"/>
      <c r="F28" s="1143"/>
      <c r="G28" s="558" t="s">
        <v>503</v>
      </c>
      <c r="H28" s="558" t="s">
        <v>1210</v>
      </c>
      <c r="I28" s="558" t="s">
        <v>122</v>
      </c>
      <c r="J28" s="556"/>
    </row>
    <row r="29" spans="1:10">
      <c r="A29" s="1143" t="s">
        <v>134</v>
      </c>
      <c r="B29" s="1143"/>
      <c r="C29" s="1143"/>
      <c r="D29" s="1143" t="s">
        <v>1292</v>
      </c>
      <c r="E29" s="1143"/>
      <c r="F29" s="1143"/>
      <c r="G29" s="558" t="s">
        <v>1153</v>
      </c>
      <c r="H29" s="558" t="s">
        <v>200</v>
      </c>
      <c r="I29" s="558" t="s">
        <v>264</v>
      </c>
      <c r="J29" s="556"/>
    </row>
    <row r="30" spans="1:10">
      <c r="A30" s="1143" t="s">
        <v>138</v>
      </c>
      <c r="B30" s="1143"/>
      <c r="C30" s="1143"/>
      <c r="D30" s="1143" t="s">
        <v>1293</v>
      </c>
      <c r="E30" s="1143"/>
      <c r="F30" s="1143"/>
      <c r="G30" s="558" t="s">
        <v>1294</v>
      </c>
      <c r="H30" s="558" t="s">
        <v>1295</v>
      </c>
      <c r="I30" s="558" t="s">
        <v>142</v>
      </c>
      <c r="J30" s="556"/>
    </row>
    <row r="31" spans="1:10">
      <c r="A31" s="1143" t="s">
        <v>143</v>
      </c>
      <c r="B31" s="1143"/>
      <c r="C31" s="1143"/>
      <c r="D31" s="1143" t="s">
        <v>1296</v>
      </c>
      <c r="E31" s="1143"/>
      <c r="F31" s="1143"/>
      <c r="G31" s="558" t="s">
        <v>1297</v>
      </c>
      <c r="H31" s="558" t="s">
        <v>1298</v>
      </c>
      <c r="I31" s="558" t="s">
        <v>376</v>
      </c>
      <c r="J31" s="556"/>
    </row>
    <row r="32" spans="1:10">
      <c r="A32" s="1143" t="s">
        <v>147</v>
      </c>
      <c r="B32" s="1143"/>
      <c r="C32" s="1143"/>
      <c r="D32" s="1143" t="s">
        <v>1299</v>
      </c>
      <c r="E32" s="1143"/>
      <c r="F32" s="1143"/>
      <c r="G32" s="558" t="s">
        <v>1300</v>
      </c>
      <c r="H32" s="558" t="s">
        <v>1301</v>
      </c>
      <c r="I32" s="558" t="s">
        <v>1302</v>
      </c>
      <c r="J32" s="556"/>
    </row>
    <row r="33" spans="1:10">
      <c r="A33" s="1143" t="s">
        <v>151</v>
      </c>
      <c r="B33" s="1143"/>
      <c r="C33" s="1143"/>
      <c r="D33" s="1143" t="s">
        <v>1303</v>
      </c>
      <c r="E33" s="1143"/>
      <c r="F33" s="1143"/>
      <c r="G33" s="558" t="s">
        <v>1304</v>
      </c>
      <c r="H33" s="558" t="s">
        <v>1305</v>
      </c>
      <c r="I33" s="558" t="s">
        <v>216</v>
      </c>
      <c r="J33" s="556"/>
    </row>
    <row r="34" spans="1:10">
      <c r="A34" s="1143" t="s">
        <v>155</v>
      </c>
      <c r="B34" s="1143"/>
      <c r="C34" s="1143"/>
      <c r="D34" s="1143" t="s">
        <v>1306</v>
      </c>
      <c r="E34" s="1143"/>
      <c r="F34" s="1143"/>
      <c r="G34" s="558" t="s">
        <v>1307</v>
      </c>
      <c r="H34" s="558" t="s">
        <v>1218</v>
      </c>
      <c r="I34" s="558" t="s">
        <v>93</v>
      </c>
      <c r="J34" s="556"/>
    </row>
    <row r="35" spans="1:10">
      <c r="A35" s="1143" t="s">
        <v>159</v>
      </c>
      <c r="B35" s="1143"/>
      <c r="C35" s="1143"/>
      <c r="D35" s="1143" t="s">
        <v>1308</v>
      </c>
      <c r="E35" s="1143"/>
      <c r="F35" s="1143"/>
      <c r="G35" s="558" t="s">
        <v>1174</v>
      </c>
      <c r="H35" s="558" t="s">
        <v>101</v>
      </c>
      <c r="I35" s="558" t="s">
        <v>275</v>
      </c>
      <c r="J35" s="556"/>
    </row>
    <row r="36" spans="1:10">
      <c r="A36" s="1143" t="s">
        <v>163</v>
      </c>
      <c r="B36" s="1143"/>
      <c r="C36" s="1143"/>
      <c r="D36" s="1143" t="s">
        <v>1309</v>
      </c>
      <c r="E36" s="1143"/>
      <c r="F36" s="1143"/>
      <c r="G36" s="558" t="s">
        <v>1194</v>
      </c>
      <c r="H36" s="558" t="s">
        <v>1009</v>
      </c>
      <c r="I36" s="558" t="s">
        <v>122</v>
      </c>
      <c r="J36" s="556"/>
    </row>
    <row r="37" spans="1:10">
      <c r="A37" s="1143" t="s">
        <v>168</v>
      </c>
      <c r="B37" s="1143"/>
      <c r="C37" s="1143"/>
      <c r="D37" s="1143" t="s">
        <v>68</v>
      </c>
      <c r="E37" s="1143"/>
      <c r="F37" s="1143"/>
      <c r="G37" s="558" t="s">
        <v>68</v>
      </c>
      <c r="H37" s="558" t="s">
        <v>68</v>
      </c>
      <c r="I37" s="558" t="s">
        <v>68</v>
      </c>
      <c r="J37" s="556"/>
    </row>
    <row r="38" spans="1:10">
      <c r="A38" s="1143" t="s">
        <v>1261</v>
      </c>
      <c r="B38" s="1143"/>
      <c r="C38" s="1143"/>
      <c r="D38" s="1143" t="s">
        <v>1262</v>
      </c>
      <c r="E38" s="1143"/>
      <c r="F38" s="1143"/>
      <c r="G38" s="558" t="s">
        <v>1263</v>
      </c>
      <c r="H38" s="558" t="s">
        <v>1262</v>
      </c>
      <c r="I38" s="558" t="s">
        <v>72</v>
      </c>
      <c r="J38" s="556"/>
    </row>
    <row r="39" spans="1:10">
      <c r="A39" s="1143" t="s">
        <v>169</v>
      </c>
      <c r="B39" s="1143"/>
      <c r="C39" s="1143"/>
      <c r="D39" s="1143" t="s">
        <v>1310</v>
      </c>
      <c r="E39" s="1143"/>
      <c r="F39" s="1143"/>
      <c r="G39" s="558" t="s">
        <v>1189</v>
      </c>
      <c r="H39" s="558" t="s">
        <v>484</v>
      </c>
      <c r="I39" s="558" t="s">
        <v>275</v>
      </c>
      <c r="J39" s="556"/>
    </row>
    <row r="40" spans="1:10">
      <c r="A40" s="1143" t="s">
        <v>173</v>
      </c>
      <c r="B40" s="1143"/>
      <c r="C40" s="1143"/>
      <c r="D40" s="1143" t="s">
        <v>1311</v>
      </c>
      <c r="E40" s="1143"/>
      <c r="F40" s="1143"/>
      <c r="G40" s="558" t="s">
        <v>428</v>
      </c>
      <c r="H40" s="558" t="s">
        <v>484</v>
      </c>
      <c r="I40" s="558" t="s">
        <v>84</v>
      </c>
      <c r="J40" s="556"/>
    </row>
    <row r="41" spans="1:10">
      <c r="A41" s="1143" t="s">
        <v>176</v>
      </c>
      <c r="B41" s="1143"/>
      <c r="C41" s="1143"/>
      <c r="D41" s="1143" t="s">
        <v>1312</v>
      </c>
      <c r="E41" s="1143"/>
      <c r="F41" s="1143"/>
      <c r="G41" s="558" t="s">
        <v>1068</v>
      </c>
      <c r="H41" s="558" t="s">
        <v>108</v>
      </c>
      <c r="I41" s="558" t="s">
        <v>93</v>
      </c>
      <c r="J41" s="556"/>
    </row>
    <row r="42" spans="1:10">
      <c r="A42" s="1143" t="s">
        <v>180</v>
      </c>
      <c r="B42" s="1143"/>
      <c r="C42" s="1143"/>
      <c r="D42" s="1143" t="s">
        <v>1313</v>
      </c>
      <c r="E42" s="1143"/>
      <c r="F42" s="1143"/>
      <c r="G42" s="558" t="s">
        <v>1314</v>
      </c>
      <c r="H42" s="558" t="s">
        <v>1315</v>
      </c>
      <c r="I42" s="558" t="s">
        <v>113</v>
      </c>
      <c r="J42" s="556"/>
    </row>
    <row r="43" spans="1:10">
      <c r="A43" s="1143" t="s">
        <v>184</v>
      </c>
      <c r="B43" s="1143"/>
      <c r="C43" s="1143"/>
      <c r="D43" s="1143" t="s">
        <v>1316</v>
      </c>
      <c r="E43" s="1143"/>
      <c r="F43" s="1143"/>
      <c r="G43" s="558" t="s">
        <v>1317</v>
      </c>
      <c r="H43" s="558" t="s">
        <v>1318</v>
      </c>
      <c r="I43" s="558" t="s">
        <v>221</v>
      </c>
      <c r="J43" s="556"/>
    </row>
    <row r="44" spans="1:10">
      <c r="A44" s="1143" t="s">
        <v>188</v>
      </c>
      <c r="B44" s="1143"/>
      <c r="C44" s="1143"/>
      <c r="D44" s="1143" t="s">
        <v>1319</v>
      </c>
      <c r="E44" s="1143"/>
      <c r="F44" s="1143"/>
      <c r="G44" s="558" t="s">
        <v>1320</v>
      </c>
      <c r="H44" s="558" t="s">
        <v>1321</v>
      </c>
      <c r="I44" s="558" t="s">
        <v>376</v>
      </c>
      <c r="J44" s="556"/>
    </row>
    <row r="45" spans="1:10">
      <c r="A45" s="1143" t="s">
        <v>192</v>
      </c>
      <c r="B45" s="1143"/>
      <c r="C45" s="1143"/>
      <c r="D45" s="1143" t="s">
        <v>1322</v>
      </c>
      <c r="E45" s="1143"/>
      <c r="F45" s="1143"/>
      <c r="G45" s="558" t="s">
        <v>194</v>
      </c>
      <c r="H45" s="558" t="s">
        <v>1323</v>
      </c>
      <c r="I45" s="558" t="s">
        <v>93</v>
      </c>
      <c r="J45" s="556"/>
    </row>
    <row r="46" spans="1:10">
      <c r="A46" s="1143" t="s">
        <v>197</v>
      </c>
      <c r="B46" s="1143"/>
      <c r="C46" s="1143"/>
      <c r="D46" s="1143" t="s">
        <v>1324</v>
      </c>
      <c r="E46" s="1143"/>
      <c r="F46" s="1143"/>
      <c r="G46" s="558" t="s">
        <v>1181</v>
      </c>
      <c r="H46" s="558" t="s">
        <v>400</v>
      </c>
      <c r="I46" s="558" t="s">
        <v>117</v>
      </c>
      <c r="J46" s="556"/>
    </row>
    <row r="47" spans="1:10">
      <c r="A47" s="1143" t="s">
        <v>201</v>
      </c>
      <c r="B47" s="1143"/>
      <c r="C47" s="1143"/>
      <c r="D47" s="1143" t="s">
        <v>1325</v>
      </c>
      <c r="E47" s="1143"/>
      <c r="F47" s="1143"/>
      <c r="G47" s="558" t="s">
        <v>1023</v>
      </c>
      <c r="H47" s="558" t="s">
        <v>1326</v>
      </c>
      <c r="I47" s="558" t="s">
        <v>264</v>
      </c>
      <c r="J47" s="556"/>
    </row>
    <row r="48" spans="1:10">
      <c r="A48" s="1143" t="s">
        <v>206</v>
      </c>
      <c r="B48" s="1143"/>
      <c r="C48" s="1143"/>
      <c r="D48" s="1143" t="s">
        <v>207</v>
      </c>
      <c r="E48" s="1143"/>
      <c r="F48" s="1143"/>
      <c r="G48" s="558" t="s">
        <v>208</v>
      </c>
      <c r="H48" s="558" t="s">
        <v>72</v>
      </c>
      <c r="I48" s="558" t="s">
        <v>72</v>
      </c>
      <c r="J48" s="556"/>
    </row>
    <row r="49" spans="1:10">
      <c r="A49" s="1143" t="s">
        <v>209</v>
      </c>
      <c r="B49" s="1143"/>
      <c r="C49" s="1143"/>
      <c r="D49" s="1143" t="s">
        <v>68</v>
      </c>
      <c r="E49" s="1143"/>
      <c r="F49" s="1143"/>
      <c r="G49" s="558" t="s">
        <v>68</v>
      </c>
      <c r="H49" s="558" t="s">
        <v>68</v>
      </c>
      <c r="I49" s="558" t="s">
        <v>68</v>
      </c>
      <c r="J49" s="556"/>
    </row>
    <row r="50" spans="1:10">
      <c r="A50" s="1143" t="s">
        <v>1261</v>
      </c>
      <c r="B50" s="1143"/>
      <c r="C50" s="1143"/>
      <c r="D50" s="1143" t="s">
        <v>1262</v>
      </c>
      <c r="E50" s="1143"/>
      <c r="F50" s="1143"/>
      <c r="G50" s="558" t="s">
        <v>1263</v>
      </c>
      <c r="H50" s="558" t="s">
        <v>1262</v>
      </c>
      <c r="I50" s="558" t="s">
        <v>72</v>
      </c>
      <c r="J50" s="556"/>
    </row>
    <row r="51" spans="1:10">
      <c r="A51" s="1143" t="s">
        <v>210</v>
      </c>
      <c r="B51" s="1143"/>
      <c r="C51" s="1143"/>
      <c r="D51" s="1143" t="s">
        <v>1327</v>
      </c>
      <c r="E51" s="1143"/>
      <c r="F51" s="1143"/>
      <c r="G51" s="558" t="s">
        <v>1171</v>
      </c>
      <c r="H51" s="558" t="s">
        <v>1328</v>
      </c>
      <c r="I51" s="558" t="s">
        <v>275</v>
      </c>
      <c r="J51" s="556"/>
    </row>
    <row r="52" spans="1:10">
      <c r="A52" s="1143" t="s">
        <v>212</v>
      </c>
      <c r="B52" s="1143"/>
      <c r="C52" s="1143"/>
      <c r="D52" s="1143" t="s">
        <v>1329</v>
      </c>
      <c r="E52" s="1143"/>
      <c r="F52" s="1143"/>
      <c r="G52" s="558" t="s">
        <v>1052</v>
      </c>
      <c r="H52" s="558" t="s">
        <v>1330</v>
      </c>
      <c r="I52" s="558" t="s">
        <v>77</v>
      </c>
      <c r="J52" s="556"/>
    </row>
    <row r="53" spans="1:10">
      <c r="A53" s="1143" t="s">
        <v>217</v>
      </c>
      <c r="B53" s="1143"/>
      <c r="C53" s="1143"/>
      <c r="D53" s="1143" t="s">
        <v>1331</v>
      </c>
      <c r="E53" s="1143"/>
      <c r="F53" s="1143"/>
      <c r="G53" s="558" t="s">
        <v>1332</v>
      </c>
      <c r="H53" s="558" t="s">
        <v>1333</v>
      </c>
      <c r="I53" s="558" t="s">
        <v>226</v>
      </c>
      <c r="J53" s="556"/>
    </row>
    <row r="54" spans="1:10">
      <c r="A54" s="1143" t="s">
        <v>222</v>
      </c>
      <c r="B54" s="1143"/>
      <c r="C54" s="1143"/>
      <c r="D54" s="1143" t="s">
        <v>1334</v>
      </c>
      <c r="E54" s="1143"/>
      <c r="F54" s="1143"/>
      <c r="G54" s="558" t="s">
        <v>1335</v>
      </c>
      <c r="H54" s="558" t="s">
        <v>220</v>
      </c>
      <c r="I54" s="558" t="s">
        <v>289</v>
      </c>
      <c r="J54" s="556"/>
    </row>
    <row r="55" spans="1:10">
      <c r="A55" s="1143" t="s">
        <v>227</v>
      </c>
      <c r="B55" s="1143"/>
      <c r="C55" s="1143"/>
      <c r="D55" s="1143" t="s">
        <v>1336</v>
      </c>
      <c r="E55" s="1143"/>
      <c r="F55" s="1143"/>
      <c r="G55" s="558" t="s">
        <v>1337</v>
      </c>
      <c r="H55" s="558" t="s">
        <v>1338</v>
      </c>
      <c r="I55" s="558" t="s">
        <v>376</v>
      </c>
      <c r="J55" s="556"/>
    </row>
    <row r="56" spans="1:10">
      <c r="A56" s="1143" t="s">
        <v>231</v>
      </c>
      <c r="B56" s="1143"/>
      <c r="C56" s="1143"/>
      <c r="D56" s="1143" t="s">
        <v>1339</v>
      </c>
      <c r="E56" s="1143"/>
      <c r="F56" s="1143"/>
      <c r="G56" s="558" t="s">
        <v>131</v>
      </c>
      <c r="H56" s="558" t="s">
        <v>1017</v>
      </c>
      <c r="I56" s="558" t="s">
        <v>133</v>
      </c>
      <c r="J56" s="556"/>
    </row>
    <row r="57" spans="1:10">
      <c r="A57" s="1143" t="s">
        <v>235</v>
      </c>
      <c r="B57" s="1143"/>
      <c r="C57" s="1143"/>
      <c r="D57" s="1143" t="s">
        <v>68</v>
      </c>
      <c r="E57" s="1143"/>
      <c r="F57" s="1143"/>
      <c r="G57" s="558" t="s">
        <v>68</v>
      </c>
      <c r="H57" s="558" t="s">
        <v>68</v>
      </c>
      <c r="I57" s="558" t="s">
        <v>68</v>
      </c>
      <c r="J57" s="556"/>
    </row>
    <row r="58" spans="1:10">
      <c r="A58" s="1143" t="s">
        <v>73</v>
      </c>
      <c r="B58" s="1143"/>
      <c r="C58" s="1143"/>
      <c r="D58" s="1143" t="s">
        <v>1264</v>
      </c>
      <c r="E58" s="1143"/>
      <c r="F58" s="1143"/>
      <c r="G58" s="558" t="s">
        <v>1265</v>
      </c>
      <c r="H58" s="558" t="s">
        <v>1264</v>
      </c>
      <c r="I58" s="558" t="s">
        <v>72</v>
      </c>
      <c r="J58" s="556"/>
    </row>
    <row r="59" spans="1:10">
      <c r="A59" s="1143" t="s">
        <v>1340</v>
      </c>
      <c r="B59" s="1143"/>
      <c r="C59" s="1143"/>
      <c r="D59" s="1143" t="s">
        <v>1341</v>
      </c>
      <c r="E59" s="1143"/>
      <c r="F59" s="1143"/>
      <c r="G59" s="558" t="s">
        <v>1342</v>
      </c>
      <c r="H59" s="558" t="s">
        <v>508</v>
      </c>
      <c r="I59" s="558" t="s">
        <v>142</v>
      </c>
      <c r="J59" s="556"/>
    </row>
    <row r="60" spans="1:10">
      <c r="A60" s="1143" t="s">
        <v>1343</v>
      </c>
      <c r="B60" s="1143"/>
      <c r="C60" s="1143"/>
      <c r="D60" s="1143" t="s">
        <v>1344</v>
      </c>
      <c r="E60" s="1143"/>
      <c r="F60" s="1143"/>
      <c r="G60" s="558" t="s">
        <v>1345</v>
      </c>
      <c r="H60" s="558" t="s">
        <v>1346</v>
      </c>
      <c r="I60" s="558" t="s">
        <v>142</v>
      </c>
      <c r="J60" s="556"/>
    </row>
    <row r="61" spans="1:10">
      <c r="A61" s="1143" t="s">
        <v>1347</v>
      </c>
      <c r="B61" s="1143"/>
      <c r="C61" s="1143"/>
      <c r="D61" s="1143" t="s">
        <v>1348</v>
      </c>
      <c r="E61" s="1143"/>
      <c r="F61" s="1143"/>
      <c r="G61" s="558" t="s">
        <v>247</v>
      </c>
      <c r="H61" s="558" t="s">
        <v>72</v>
      </c>
      <c r="I61" s="558" t="s">
        <v>72</v>
      </c>
      <c r="J61" s="556"/>
    </row>
    <row r="62" spans="1:10">
      <c r="A62" s="1143" t="s">
        <v>1349</v>
      </c>
      <c r="B62" s="1143"/>
      <c r="C62" s="1143"/>
      <c r="D62" s="1143" t="s">
        <v>1350</v>
      </c>
      <c r="E62" s="1143"/>
      <c r="F62" s="1143"/>
      <c r="G62" s="558" t="s">
        <v>1351</v>
      </c>
      <c r="H62" s="558" t="s">
        <v>72</v>
      </c>
      <c r="I62" s="558" t="s">
        <v>72</v>
      </c>
      <c r="J62" s="556"/>
    </row>
    <row r="63" spans="1:10">
      <c r="A63" s="1143" t="s">
        <v>251</v>
      </c>
      <c r="B63" s="1143"/>
      <c r="C63" s="1143"/>
      <c r="D63" s="1143" t="s">
        <v>68</v>
      </c>
      <c r="E63" s="1143"/>
      <c r="F63" s="1143"/>
      <c r="G63" s="558" t="s">
        <v>68</v>
      </c>
      <c r="H63" s="558" t="s">
        <v>68</v>
      </c>
      <c r="I63" s="558" t="s">
        <v>68</v>
      </c>
      <c r="J63" s="556"/>
    </row>
    <row r="64" spans="1:10">
      <c r="A64" s="1143" t="s">
        <v>73</v>
      </c>
      <c r="B64" s="1143"/>
      <c r="C64" s="1143"/>
      <c r="D64" s="1143" t="s">
        <v>1264</v>
      </c>
      <c r="E64" s="1143"/>
      <c r="F64" s="1143"/>
      <c r="G64" s="558" t="s">
        <v>1265</v>
      </c>
      <c r="H64" s="558" t="s">
        <v>1264</v>
      </c>
      <c r="I64" s="558" t="s">
        <v>72</v>
      </c>
      <c r="J64" s="556"/>
    </row>
    <row r="65" spans="1:10">
      <c r="A65" s="1143" t="s">
        <v>1352</v>
      </c>
      <c r="B65" s="1143"/>
      <c r="C65" s="1143"/>
      <c r="D65" s="1143" t="s">
        <v>1353</v>
      </c>
      <c r="E65" s="1143"/>
      <c r="F65" s="1143"/>
      <c r="G65" s="558" t="s">
        <v>1354</v>
      </c>
      <c r="H65" s="558" t="s">
        <v>1355</v>
      </c>
      <c r="I65" s="558" t="s">
        <v>406</v>
      </c>
      <c r="J65" s="556"/>
    </row>
    <row r="66" spans="1:10">
      <c r="A66" s="1143" t="s">
        <v>1356</v>
      </c>
      <c r="B66" s="1143"/>
      <c r="C66" s="1143"/>
      <c r="D66" s="1143" t="s">
        <v>1357</v>
      </c>
      <c r="E66" s="1143"/>
      <c r="F66" s="1143"/>
      <c r="G66" s="558" t="s">
        <v>1358</v>
      </c>
      <c r="H66" s="558" t="s">
        <v>1359</v>
      </c>
      <c r="I66" s="558" t="s">
        <v>150</v>
      </c>
      <c r="J66" s="556"/>
    </row>
    <row r="67" spans="1:10">
      <c r="A67" s="1143" t="s">
        <v>1360</v>
      </c>
      <c r="B67" s="1143"/>
      <c r="C67" s="1143"/>
      <c r="D67" s="1143" t="s">
        <v>1361</v>
      </c>
      <c r="E67" s="1143"/>
      <c r="F67" s="1143"/>
      <c r="G67" s="558" t="s">
        <v>1362</v>
      </c>
      <c r="H67" s="558" t="s">
        <v>1363</v>
      </c>
      <c r="I67" s="558" t="s">
        <v>105</v>
      </c>
      <c r="J67" s="556"/>
    </row>
    <row r="68" spans="1:10">
      <c r="A68" s="1143" t="s">
        <v>1364</v>
      </c>
      <c r="B68" s="1143"/>
      <c r="C68" s="1143"/>
      <c r="D68" s="1143" t="s">
        <v>1365</v>
      </c>
      <c r="E68" s="1143"/>
      <c r="F68" s="1143"/>
      <c r="G68" s="558" t="s">
        <v>310</v>
      </c>
      <c r="H68" s="558" t="s">
        <v>116</v>
      </c>
      <c r="I68" s="558" t="s">
        <v>167</v>
      </c>
      <c r="J68" s="556"/>
    </row>
    <row r="69" spans="1:10">
      <c r="A69" s="1143" t="s">
        <v>1366</v>
      </c>
      <c r="B69" s="1143"/>
      <c r="C69" s="1143"/>
      <c r="D69" s="1143" t="s">
        <v>1367</v>
      </c>
      <c r="E69" s="1143"/>
      <c r="F69" s="1143"/>
      <c r="G69" s="558" t="s">
        <v>1368</v>
      </c>
      <c r="H69" s="558" t="s">
        <v>162</v>
      </c>
      <c r="I69" s="558" t="s">
        <v>275</v>
      </c>
      <c r="J69" s="556"/>
    </row>
    <row r="70" spans="1:10">
      <c r="A70" s="1143" t="s">
        <v>1369</v>
      </c>
      <c r="B70" s="1143"/>
      <c r="C70" s="1143"/>
      <c r="D70" s="1143" t="s">
        <v>1370</v>
      </c>
      <c r="E70" s="1143"/>
      <c r="F70" s="1143"/>
      <c r="G70" s="558" t="s">
        <v>1371</v>
      </c>
      <c r="H70" s="558" t="s">
        <v>1372</v>
      </c>
      <c r="I70" s="558" t="s">
        <v>270</v>
      </c>
      <c r="J70" s="556"/>
    </row>
    <row r="71" spans="1:10">
      <c r="A71" s="1143" t="s">
        <v>276</v>
      </c>
      <c r="B71" s="1143"/>
      <c r="C71" s="1143"/>
      <c r="D71" s="1143" t="s">
        <v>68</v>
      </c>
      <c r="E71" s="1143"/>
      <c r="F71" s="1143"/>
      <c r="G71" s="558" t="s">
        <v>68</v>
      </c>
      <c r="H71" s="558" t="s">
        <v>68</v>
      </c>
      <c r="I71" s="558" t="s">
        <v>68</v>
      </c>
      <c r="J71" s="556"/>
    </row>
    <row r="72" spans="1:10">
      <c r="A72" s="1143" t="s">
        <v>73</v>
      </c>
      <c r="B72" s="1143"/>
      <c r="C72" s="1143"/>
      <c r="D72" s="1143" t="s">
        <v>1264</v>
      </c>
      <c r="E72" s="1143"/>
      <c r="F72" s="1143"/>
      <c r="G72" s="558" t="s">
        <v>1265</v>
      </c>
      <c r="H72" s="558" t="s">
        <v>1264</v>
      </c>
      <c r="I72" s="558" t="s">
        <v>72</v>
      </c>
      <c r="J72" s="556"/>
    </row>
    <row r="73" spans="1:10">
      <c r="A73" s="1143" t="s">
        <v>1373</v>
      </c>
      <c r="B73" s="1143"/>
      <c r="C73" s="1143"/>
      <c r="D73" s="1143" t="s">
        <v>1374</v>
      </c>
      <c r="E73" s="1143"/>
      <c r="F73" s="1143"/>
      <c r="G73" s="558" t="s">
        <v>1185</v>
      </c>
      <c r="H73" s="558" t="s">
        <v>234</v>
      </c>
      <c r="I73" s="558" t="s">
        <v>167</v>
      </c>
      <c r="J73" s="556"/>
    </row>
    <row r="74" spans="1:10">
      <c r="A74" s="1143" t="s">
        <v>1375</v>
      </c>
      <c r="B74" s="1143"/>
      <c r="C74" s="1143"/>
      <c r="D74" s="1143" t="s">
        <v>1376</v>
      </c>
      <c r="E74" s="1143"/>
      <c r="F74" s="1143"/>
      <c r="G74" s="558" t="s">
        <v>1377</v>
      </c>
      <c r="H74" s="558" t="s">
        <v>1378</v>
      </c>
      <c r="I74" s="558" t="s">
        <v>289</v>
      </c>
      <c r="J74" s="556"/>
    </row>
    <row r="75" spans="1:10">
      <c r="A75" s="1143" t="s">
        <v>1379</v>
      </c>
      <c r="B75" s="1143"/>
      <c r="C75" s="1143"/>
      <c r="D75" s="1143" t="s">
        <v>1380</v>
      </c>
      <c r="E75" s="1143"/>
      <c r="F75" s="1143"/>
      <c r="G75" s="558" t="s">
        <v>1381</v>
      </c>
      <c r="H75" s="558" t="s">
        <v>1382</v>
      </c>
      <c r="I75" s="558" t="s">
        <v>226</v>
      </c>
      <c r="J75" s="556"/>
    </row>
    <row r="76" spans="1:10">
      <c r="A76" s="1143" t="s">
        <v>1383</v>
      </c>
      <c r="B76" s="1143"/>
      <c r="C76" s="1143"/>
      <c r="D76" s="1143" t="s">
        <v>1384</v>
      </c>
      <c r="E76" s="1143"/>
      <c r="F76" s="1143"/>
      <c r="G76" s="558" t="s">
        <v>1385</v>
      </c>
      <c r="H76" s="558" t="s">
        <v>1386</v>
      </c>
      <c r="I76" s="558" t="s">
        <v>1302</v>
      </c>
      <c r="J76" s="556"/>
    </row>
    <row r="77" spans="1:10">
      <c r="A77" s="1145" t="s">
        <v>294</v>
      </c>
      <c r="B77" s="1145"/>
      <c r="C77" s="1145"/>
      <c r="D77" s="1145" t="s">
        <v>68</v>
      </c>
      <c r="E77" s="1145"/>
      <c r="F77" s="1145"/>
      <c r="G77" s="559" t="s">
        <v>68</v>
      </c>
      <c r="H77" s="559" t="s">
        <v>68</v>
      </c>
      <c r="I77" s="559" t="s">
        <v>68</v>
      </c>
      <c r="J77" s="556"/>
    </row>
    <row r="78" spans="1:10">
      <c r="A78" s="1145" t="s">
        <v>73</v>
      </c>
      <c r="B78" s="1145"/>
      <c r="C78" s="1145"/>
      <c r="D78" s="1145" t="s">
        <v>1264</v>
      </c>
      <c r="E78" s="1145"/>
      <c r="F78" s="1145"/>
      <c r="G78" s="559" t="s">
        <v>1265</v>
      </c>
      <c r="H78" s="559" t="s">
        <v>1264</v>
      </c>
      <c r="I78" s="559" t="s">
        <v>72</v>
      </c>
      <c r="J78" s="556"/>
    </row>
    <row r="79" spans="1:10">
      <c r="A79" s="1145" t="s">
        <v>1387</v>
      </c>
      <c r="B79" s="1145"/>
      <c r="C79" s="1145"/>
      <c r="D79" s="1145" t="s">
        <v>1388</v>
      </c>
      <c r="E79" s="1145"/>
      <c r="F79" s="1145"/>
      <c r="G79" s="559" t="s">
        <v>1389</v>
      </c>
      <c r="H79" s="559" t="s">
        <v>1390</v>
      </c>
      <c r="I79" s="559" t="s">
        <v>150</v>
      </c>
      <c r="J79" s="556"/>
    </row>
    <row r="80" spans="1:10">
      <c r="A80" s="1145" t="s">
        <v>1391</v>
      </c>
      <c r="B80" s="1145"/>
      <c r="C80" s="1145"/>
      <c r="D80" s="1145" t="s">
        <v>1392</v>
      </c>
      <c r="E80" s="1145"/>
      <c r="F80" s="1145"/>
      <c r="G80" s="559" t="s">
        <v>1393</v>
      </c>
      <c r="H80" s="559" t="s">
        <v>491</v>
      </c>
      <c r="I80" s="559" t="s">
        <v>498</v>
      </c>
      <c r="J80" s="556"/>
    </row>
    <row r="81" spans="1:10">
      <c r="A81" s="1145" t="s">
        <v>1394</v>
      </c>
      <c r="B81" s="1145"/>
      <c r="C81" s="1145"/>
      <c r="D81" s="1145" t="s">
        <v>1395</v>
      </c>
      <c r="E81" s="1145"/>
      <c r="F81" s="1145"/>
      <c r="G81" s="559" t="s">
        <v>1396</v>
      </c>
      <c r="H81" s="559" t="s">
        <v>1397</v>
      </c>
      <c r="I81" s="559" t="s">
        <v>284</v>
      </c>
      <c r="J81" s="556"/>
    </row>
    <row r="82" spans="1:10">
      <c r="A82" s="1145" t="s">
        <v>1398</v>
      </c>
      <c r="B82" s="1145"/>
      <c r="C82" s="1145"/>
      <c r="D82" s="1145" t="s">
        <v>1399</v>
      </c>
      <c r="E82" s="1145"/>
      <c r="F82" s="1145"/>
      <c r="G82" s="559" t="s">
        <v>1400</v>
      </c>
      <c r="H82" s="559" t="s">
        <v>462</v>
      </c>
      <c r="I82" s="559" t="s">
        <v>133</v>
      </c>
      <c r="J82" s="556"/>
    </row>
    <row r="83" spans="1:10">
      <c r="A83" s="1145" t="s">
        <v>1401</v>
      </c>
      <c r="B83" s="1145"/>
      <c r="C83" s="1145"/>
      <c r="D83" s="1145" t="s">
        <v>45</v>
      </c>
      <c r="E83" s="1145"/>
      <c r="F83" s="1145"/>
      <c r="G83" s="559" t="s">
        <v>361</v>
      </c>
      <c r="H83" s="559" t="s">
        <v>318</v>
      </c>
      <c r="I83" s="559" t="s">
        <v>319</v>
      </c>
      <c r="J83" s="556"/>
    </row>
    <row r="84" spans="1:10">
      <c r="A84" s="1145" t="s">
        <v>1402</v>
      </c>
      <c r="B84" s="1145"/>
      <c r="C84" s="1145"/>
      <c r="D84" s="1145" t="s">
        <v>1120</v>
      </c>
      <c r="E84" s="1145"/>
      <c r="F84" s="1145"/>
      <c r="G84" s="559" t="s">
        <v>1290</v>
      </c>
      <c r="H84" s="559" t="s">
        <v>126</v>
      </c>
      <c r="I84" s="559" t="s">
        <v>208</v>
      </c>
      <c r="J84" s="556"/>
    </row>
    <row r="85" spans="1:10">
      <c r="A85" s="1145" t="s">
        <v>1403</v>
      </c>
      <c r="B85" s="1145"/>
      <c r="C85" s="1145"/>
      <c r="D85" s="1145" t="s">
        <v>45</v>
      </c>
      <c r="E85" s="1145"/>
      <c r="F85" s="1145"/>
      <c r="G85" s="559" t="s">
        <v>361</v>
      </c>
      <c r="H85" s="559" t="s">
        <v>318</v>
      </c>
      <c r="I85" s="559" t="s">
        <v>319</v>
      </c>
      <c r="J85" s="556"/>
    </row>
    <row r="86" spans="1:10">
      <c r="A86" s="1145" t="s">
        <v>1404</v>
      </c>
      <c r="B86" s="1145"/>
      <c r="C86" s="1145"/>
      <c r="D86" s="1145" t="s">
        <v>1405</v>
      </c>
      <c r="E86" s="1145"/>
      <c r="F86" s="1145"/>
      <c r="G86" s="559" t="s">
        <v>521</v>
      </c>
      <c r="H86" s="559" t="s">
        <v>341</v>
      </c>
      <c r="I86" s="559" t="s">
        <v>319</v>
      </c>
      <c r="J86" s="556"/>
    </row>
    <row r="87" spans="1:10">
      <c r="A87" s="1145" t="s">
        <v>1406</v>
      </c>
      <c r="B87" s="1145"/>
      <c r="C87" s="1145"/>
      <c r="D87" s="1145" t="s">
        <v>1118</v>
      </c>
      <c r="E87" s="1145"/>
      <c r="F87" s="1145"/>
      <c r="G87" s="559" t="s">
        <v>1121</v>
      </c>
      <c r="H87" s="559" t="s">
        <v>126</v>
      </c>
      <c r="I87" s="559" t="s">
        <v>208</v>
      </c>
      <c r="J87" s="556"/>
    </row>
    <row r="88" spans="1:10">
      <c r="A88" s="1143" t="s">
        <v>324</v>
      </c>
      <c r="B88" s="1143"/>
      <c r="C88" s="1143"/>
      <c r="D88" s="1143" t="s">
        <v>68</v>
      </c>
      <c r="E88" s="1143"/>
      <c r="F88" s="1143"/>
      <c r="G88" s="558" t="s">
        <v>68</v>
      </c>
      <c r="H88" s="558" t="s">
        <v>68</v>
      </c>
      <c r="I88" s="558" t="s">
        <v>68</v>
      </c>
      <c r="J88" s="556"/>
    </row>
    <row r="89" spans="1:10">
      <c r="A89" s="1143" t="s">
        <v>73</v>
      </c>
      <c r="B89" s="1143"/>
      <c r="C89" s="1143"/>
      <c r="D89" s="1143" t="s">
        <v>1264</v>
      </c>
      <c r="E89" s="1143"/>
      <c r="F89" s="1143"/>
      <c r="G89" s="558" t="s">
        <v>1265</v>
      </c>
      <c r="H89" s="558" t="s">
        <v>1264</v>
      </c>
      <c r="I89" s="558" t="s">
        <v>72</v>
      </c>
      <c r="J89" s="556"/>
    </row>
    <row r="90" spans="1:10">
      <c r="A90" s="1143" t="s">
        <v>1407</v>
      </c>
      <c r="B90" s="1143"/>
      <c r="C90" s="1143"/>
      <c r="D90" s="1143" t="s">
        <v>489</v>
      </c>
      <c r="E90" s="1143"/>
      <c r="F90" s="1143"/>
      <c r="G90" s="558" t="s">
        <v>1408</v>
      </c>
      <c r="H90" s="558" t="s">
        <v>126</v>
      </c>
      <c r="I90" s="558" t="s">
        <v>208</v>
      </c>
      <c r="J90" s="556"/>
    </row>
    <row r="91" spans="1:10">
      <c r="A91" s="1143" t="s">
        <v>1409</v>
      </c>
      <c r="B91" s="1143"/>
      <c r="C91" s="1143"/>
      <c r="D91" s="1143" t="s">
        <v>1405</v>
      </c>
      <c r="E91" s="1143"/>
      <c r="F91" s="1143"/>
      <c r="G91" s="558" t="s">
        <v>353</v>
      </c>
      <c r="H91" s="558" t="s">
        <v>341</v>
      </c>
      <c r="I91" s="558" t="s">
        <v>319</v>
      </c>
      <c r="J91" s="556"/>
    </row>
    <row r="92" spans="1:10">
      <c r="A92" s="1143" t="s">
        <v>1410</v>
      </c>
      <c r="B92" s="1143"/>
      <c r="C92" s="1143"/>
      <c r="D92" s="1143" t="s">
        <v>1411</v>
      </c>
      <c r="E92" s="1143"/>
      <c r="F92" s="1143"/>
      <c r="G92" s="558" t="s">
        <v>194</v>
      </c>
      <c r="H92" s="558" t="s">
        <v>1412</v>
      </c>
      <c r="I92" s="558" t="s">
        <v>109</v>
      </c>
      <c r="J92" s="556"/>
    </row>
    <row r="93" spans="1:10">
      <c r="A93" s="1143" t="s">
        <v>333</v>
      </c>
      <c r="B93" s="1143"/>
      <c r="C93" s="1143"/>
      <c r="D93" s="1143" t="s">
        <v>68</v>
      </c>
      <c r="E93" s="1143"/>
      <c r="F93" s="1143"/>
      <c r="G93" s="558" t="s">
        <v>68</v>
      </c>
      <c r="H93" s="558" t="s">
        <v>68</v>
      </c>
      <c r="I93" s="558" t="s">
        <v>68</v>
      </c>
      <c r="J93" s="556"/>
    </row>
    <row r="94" spans="1:10">
      <c r="A94" s="1143" t="s">
        <v>73</v>
      </c>
      <c r="B94" s="1143"/>
      <c r="C94" s="1143"/>
      <c r="D94" s="1143" t="s">
        <v>1264</v>
      </c>
      <c r="E94" s="1143"/>
      <c r="F94" s="1143"/>
      <c r="G94" s="558" t="s">
        <v>1265</v>
      </c>
      <c r="H94" s="558" t="s">
        <v>1264</v>
      </c>
      <c r="I94" s="558" t="s">
        <v>72</v>
      </c>
      <c r="J94" s="556"/>
    </row>
    <row r="95" spans="1:10">
      <c r="A95" s="1143" t="s">
        <v>1413</v>
      </c>
      <c r="B95" s="1143"/>
      <c r="C95" s="1143"/>
      <c r="D95" s="1143" t="s">
        <v>1414</v>
      </c>
      <c r="E95" s="1143"/>
      <c r="F95" s="1143"/>
      <c r="G95" s="558" t="s">
        <v>1415</v>
      </c>
      <c r="H95" s="558" t="s">
        <v>1416</v>
      </c>
      <c r="I95" s="558" t="s">
        <v>498</v>
      </c>
      <c r="J95" s="556"/>
    </row>
    <row r="96" spans="1:10">
      <c r="A96" s="1143" t="s">
        <v>1417</v>
      </c>
      <c r="B96" s="1143"/>
      <c r="C96" s="1143"/>
      <c r="D96" s="1143" t="s">
        <v>1418</v>
      </c>
      <c r="E96" s="1143"/>
      <c r="F96" s="1143"/>
      <c r="G96" s="558" t="s">
        <v>1419</v>
      </c>
      <c r="H96" s="558" t="s">
        <v>341</v>
      </c>
      <c r="I96" s="558" t="s">
        <v>319</v>
      </c>
      <c r="J96" s="556"/>
    </row>
    <row r="97" spans="1:10">
      <c r="A97" s="1143" t="s">
        <v>1420</v>
      </c>
      <c r="B97" s="1143"/>
      <c r="C97" s="1143"/>
      <c r="D97" s="1143" t="s">
        <v>1421</v>
      </c>
      <c r="E97" s="1143"/>
      <c r="F97" s="1143"/>
      <c r="G97" s="558" t="s">
        <v>483</v>
      </c>
      <c r="H97" s="558" t="s">
        <v>1124</v>
      </c>
      <c r="I97" s="558" t="s">
        <v>208</v>
      </c>
      <c r="J97" s="556"/>
    </row>
    <row r="98" spans="1:10">
      <c r="A98" s="1143" t="s">
        <v>345</v>
      </c>
      <c r="B98" s="1143"/>
      <c r="C98" s="1143"/>
      <c r="D98" s="1143" t="s">
        <v>68</v>
      </c>
      <c r="E98" s="1143"/>
      <c r="F98" s="1143"/>
      <c r="G98" s="558" t="s">
        <v>68</v>
      </c>
      <c r="H98" s="558" t="s">
        <v>68</v>
      </c>
      <c r="I98" s="558" t="s">
        <v>68</v>
      </c>
      <c r="J98" s="556"/>
    </row>
    <row r="99" spans="1:10">
      <c r="A99" s="1143" t="s">
        <v>1422</v>
      </c>
      <c r="B99" s="1143"/>
      <c r="C99" s="1143"/>
      <c r="D99" s="1143" t="s">
        <v>1341</v>
      </c>
      <c r="E99" s="1143"/>
      <c r="F99" s="1143"/>
      <c r="G99" s="558" t="s">
        <v>1342</v>
      </c>
      <c r="H99" s="558" t="s">
        <v>1341</v>
      </c>
      <c r="I99" s="558" t="s">
        <v>72</v>
      </c>
      <c r="J99" s="556"/>
    </row>
    <row r="100" spans="1:10">
      <c r="A100" s="1143" t="s">
        <v>1423</v>
      </c>
      <c r="B100" s="1143"/>
      <c r="C100" s="1143"/>
      <c r="D100" s="1143" t="s">
        <v>1424</v>
      </c>
      <c r="E100" s="1143"/>
      <c r="F100" s="1143"/>
      <c r="G100" s="558" t="s">
        <v>399</v>
      </c>
      <c r="H100" s="558" t="s">
        <v>487</v>
      </c>
      <c r="I100" s="558" t="s">
        <v>993</v>
      </c>
      <c r="J100" s="556"/>
    </row>
    <row r="101" spans="1:10">
      <c r="A101" s="1143" t="s">
        <v>1425</v>
      </c>
      <c r="B101" s="1143"/>
      <c r="C101" s="1143"/>
      <c r="D101" s="1143" t="s">
        <v>1426</v>
      </c>
      <c r="E101" s="1143"/>
      <c r="F101" s="1143"/>
      <c r="G101" s="558" t="s">
        <v>1427</v>
      </c>
      <c r="H101" s="558" t="s">
        <v>1006</v>
      </c>
      <c r="I101" s="558" t="s">
        <v>167</v>
      </c>
      <c r="J101" s="556"/>
    </row>
    <row r="102" spans="1:10">
      <c r="A102" s="1143" t="s">
        <v>1428</v>
      </c>
      <c r="B102" s="1143"/>
      <c r="C102" s="1143"/>
      <c r="D102" s="1143" t="s">
        <v>1429</v>
      </c>
      <c r="E102" s="1143"/>
      <c r="F102" s="1143"/>
      <c r="G102" s="558" t="s">
        <v>1430</v>
      </c>
      <c r="H102" s="558" t="s">
        <v>996</v>
      </c>
      <c r="I102" s="558" t="s">
        <v>993</v>
      </c>
      <c r="J102" s="556"/>
    </row>
    <row r="103" spans="1:10">
      <c r="A103" s="1143" t="s">
        <v>1431</v>
      </c>
      <c r="B103" s="1143"/>
      <c r="C103" s="1143"/>
      <c r="D103" s="1143" t="s">
        <v>1432</v>
      </c>
      <c r="E103" s="1143"/>
      <c r="F103" s="1143"/>
      <c r="G103" s="558" t="s">
        <v>1433</v>
      </c>
      <c r="H103" s="558" t="s">
        <v>1225</v>
      </c>
      <c r="I103" s="558" t="s">
        <v>406</v>
      </c>
      <c r="J103" s="556"/>
    </row>
    <row r="104" spans="1:10">
      <c r="A104" s="1143" t="s">
        <v>1434</v>
      </c>
      <c r="B104" s="1143"/>
      <c r="C104" s="1143"/>
      <c r="D104" s="1143" t="s">
        <v>1435</v>
      </c>
      <c r="E104" s="1143"/>
      <c r="F104" s="1143"/>
      <c r="G104" s="558" t="s">
        <v>447</v>
      </c>
      <c r="H104" s="558" t="s">
        <v>1436</v>
      </c>
      <c r="I104" s="558" t="s">
        <v>1196</v>
      </c>
      <c r="J104" s="556"/>
    </row>
    <row r="105" spans="1:10">
      <c r="A105" s="1143" t="s">
        <v>1437</v>
      </c>
      <c r="B105" s="1143"/>
      <c r="C105" s="1143"/>
      <c r="D105" s="1143" t="s">
        <v>1438</v>
      </c>
      <c r="E105" s="1143"/>
      <c r="F105" s="1143"/>
      <c r="G105" s="558" t="s">
        <v>1249</v>
      </c>
      <c r="H105" s="558" t="s">
        <v>516</v>
      </c>
      <c r="I105" s="558" t="s">
        <v>406</v>
      </c>
      <c r="J105" s="556"/>
    </row>
    <row r="106" spans="1:10">
      <c r="A106" s="1143" t="s">
        <v>1439</v>
      </c>
      <c r="B106" s="1143"/>
      <c r="C106" s="1143"/>
      <c r="D106" s="1143" t="s">
        <v>1440</v>
      </c>
      <c r="E106" s="1143"/>
      <c r="F106" s="1143"/>
      <c r="G106" s="558" t="s">
        <v>399</v>
      </c>
      <c r="H106" s="558" t="s">
        <v>400</v>
      </c>
      <c r="I106" s="558" t="s">
        <v>993</v>
      </c>
      <c r="J106" s="556"/>
    </row>
    <row r="107" spans="1:10">
      <c r="A107" s="1143" t="s">
        <v>1441</v>
      </c>
      <c r="B107" s="1143"/>
      <c r="C107" s="1143"/>
      <c r="D107" s="1143" t="s">
        <v>45</v>
      </c>
      <c r="E107" s="1143"/>
      <c r="F107" s="1143"/>
      <c r="G107" s="558" t="s">
        <v>361</v>
      </c>
      <c r="H107" s="558" t="s">
        <v>318</v>
      </c>
      <c r="I107" s="558" t="s">
        <v>122</v>
      </c>
      <c r="J107" s="556"/>
    </row>
    <row r="108" spans="1:10">
      <c r="A108" s="1143" t="s">
        <v>1442</v>
      </c>
      <c r="B108" s="1143"/>
      <c r="C108" s="1143"/>
      <c r="D108" s="1143" t="s">
        <v>1443</v>
      </c>
      <c r="E108" s="1143"/>
      <c r="F108" s="1143"/>
      <c r="G108" s="558" t="s">
        <v>1444</v>
      </c>
      <c r="H108" s="558" t="s">
        <v>72</v>
      </c>
      <c r="I108" s="558" t="s">
        <v>72</v>
      </c>
      <c r="J108" s="556"/>
    </row>
    <row r="109" spans="1:10">
      <c r="A109" s="1143" t="s">
        <v>381</v>
      </c>
      <c r="B109" s="1143"/>
      <c r="C109" s="1143"/>
      <c r="D109" s="1143" t="s">
        <v>68</v>
      </c>
      <c r="E109" s="1143"/>
      <c r="F109" s="1143"/>
      <c r="G109" s="558" t="s">
        <v>68</v>
      </c>
      <c r="H109" s="558" t="s">
        <v>68</v>
      </c>
      <c r="I109" s="558" t="s">
        <v>68</v>
      </c>
      <c r="J109" s="556"/>
    </row>
    <row r="110" spans="1:10">
      <c r="A110" s="1143" t="s">
        <v>1422</v>
      </c>
      <c r="B110" s="1143"/>
      <c r="C110" s="1143"/>
      <c r="D110" s="1143" t="s">
        <v>1341</v>
      </c>
      <c r="E110" s="1143"/>
      <c r="F110" s="1143"/>
      <c r="G110" s="558" t="s">
        <v>1342</v>
      </c>
      <c r="H110" s="558" t="s">
        <v>1341</v>
      </c>
      <c r="I110" s="558" t="s">
        <v>72</v>
      </c>
      <c r="J110" s="556"/>
    </row>
    <row r="111" spans="1:10">
      <c r="A111" s="1143" t="s">
        <v>391</v>
      </c>
      <c r="B111" s="1143"/>
      <c r="C111" s="1143"/>
      <c r="D111" s="1143" t="s">
        <v>1445</v>
      </c>
      <c r="E111" s="1143"/>
      <c r="F111" s="1143"/>
      <c r="G111" s="558" t="s">
        <v>1446</v>
      </c>
      <c r="H111" s="558" t="s">
        <v>1447</v>
      </c>
      <c r="I111" s="558" t="s">
        <v>386</v>
      </c>
      <c r="J111" s="556"/>
    </row>
    <row r="112" spans="1:10">
      <c r="A112" s="1143" t="s">
        <v>421</v>
      </c>
      <c r="B112" s="1143"/>
      <c r="C112" s="1143"/>
      <c r="D112" s="1143" t="s">
        <v>1448</v>
      </c>
      <c r="E112" s="1143"/>
      <c r="F112" s="1143"/>
      <c r="G112" s="558" t="s">
        <v>1449</v>
      </c>
      <c r="H112" s="558" t="s">
        <v>1450</v>
      </c>
      <c r="I112" s="558" t="s">
        <v>386</v>
      </c>
      <c r="J112" s="556"/>
    </row>
    <row r="113" spans="1:10">
      <c r="A113" s="1143" t="s">
        <v>390</v>
      </c>
      <c r="B113" s="1143"/>
      <c r="C113" s="1143"/>
      <c r="D113" s="1143" t="s">
        <v>68</v>
      </c>
      <c r="E113" s="1143"/>
      <c r="F113" s="1143"/>
      <c r="G113" s="558" t="s">
        <v>68</v>
      </c>
      <c r="H113" s="558" t="s">
        <v>68</v>
      </c>
      <c r="I113" s="558" t="s">
        <v>68</v>
      </c>
      <c r="J113" s="556"/>
    </row>
    <row r="114" spans="1:10">
      <c r="A114" s="1143" t="s">
        <v>382</v>
      </c>
      <c r="B114" s="1143"/>
      <c r="C114" s="1143"/>
      <c r="D114" s="1143" t="s">
        <v>1445</v>
      </c>
      <c r="E114" s="1143"/>
      <c r="F114" s="1143"/>
      <c r="G114" s="558" t="s">
        <v>1446</v>
      </c>
      <c r="H114" s="558" t="s">
        <v>1445</v>
      </c>
      <c r="I114" s="558" t="s">
        <v>72</v>
      </c>
      <c r="J114" s="556"/>
    </row>
    <row r="115" spans="1:10">
      <c r="A115" s="1143" t="s">
        <v>1451</v>
      </c>
      <c r="B115" s="1143"/>
      <c r="C115" s="1143"/>
      <c r="D115" s="1143" t="s">
        <v>313</v>
      </c>
      <c r="E115" s="1143"/>
      <c r="F115" s="1143"/>
      <c r="G115" s="558" t="s">
        <v>1452</v>
      </c>
      <c r="H115" s="558" t="s">
        <v>1453</v>
      </c>
      <c r="I115" s="558" t="s">
        <v>122</v>
      </c>
      <c r="J115" s="556"/>
    </row>
    <row r="116" spans="1:10">
      <c r="A116" s="1143" t="s">
        <v>1454</v>
      </c>
      <c r="B116" s="1143"/>
      <c r="C116" s="1143"/>
      <c r="D116" s="1143" t="s">
        <v>352</v>
      </c>
      <c r="E116" s="1143"/>
      <c r="F116" s="1143"/>
      <c r="G116" s="558" t="s">
        <v>353</v>
      </c>
      <c r="H116" s="558" t="s">
        <v>1136</v>
      </c>
      <c r="I116" s="558" t="s">
        <v>133</v>
      </c>
      <c r="J116" s="556"/>
    </row>
    <row r="117" spans="1:10">
      <c r="A117" s="1143" t="s">
        <v>1455</v>
      </c>
      <c r="B117" s="1143"/>
      <c r="C117" s="1143"/>
      <c r="D117" s="1143" t="s">
        <v>300</v>
      </c>
      <c r="E117" s="1143"/>
      <c r="F117" s="1143"/>
      <c r="G117" s="558" t="s">
        <v>1456</v>
      </c>
      <c r="H117" s="558" t="s">
        <v>1457</v>
      </c>
      <c r="I117" s="558" t="s">
        <v>226</v>
      </c>
      <c r="J117" s="556"/>
    </row>
    <row r="118" spans="1:10">
      <c r="A118" s="1143" t="s">
        <v>1458</v>
      </c>
      <c r="B118" s="1143"/>
      <c r="C118" s="1143"/>
      <c r="D118" s="1143" t="s">
        <v>1459</v>
      </c>
      <c r="E118" s="1143"/>
      <c r="F118" s="1143"/>
      <c r="G118" s="558" t="s">
        <v>171</v>
      </c>
      <c r="H118" s="558" t="s">
        <v>1140</v>
      </c>
      <c r="I118" s="558" t="s">
        <v>1460</v>
      </c>
      <c r="J118" s="556"/>
    </row>
    <row r="119" spans="1:10">
      <c r="A119" s="1143" t="s">
        <v>1461</v>
      </c>
      <c r="B119" s="1143"/>
      <c r="C119" s="1143"/>
      <c r="D119" s="1143" t="s">
        <v>1462</v>
      </c>
      <c r="E119" s="1143"/>
      <c r="F119" s="1143"/>
      <c r="G119" s="558" t="s">
        <v>1463</v>
      </c>
      <c r="H119" s="558" t="s">
        <v>1464</v>
      </c>
      <c r="I119" s="558" t="s">
        <v>1465</v>
      </c>
      <c r="J119" s="556"/>
    </row>
    <row r="120" spans="1:10">
      <c r="A120" s="1143" t="s">
        <v>1466</v>
      </c>
      <c r="B120" s="1143"/>
      <c r="C120" s="1143"/>
      <c r="D120" s="1143" t="s">
        <v>1467</v>
      </c>
      <c r="E120" s="1143"/>
      <c r="F120" s="1143"/>
      <c r="G120" s="558" t="s">
        <v>1468</v>
      </c>
      <c r="H120" s="558" t="s">
        <v>1469</v>
      </c>
      <c r="I120" s="558" t="s">
        <v>481</v>
      </c>
      <c r="J120" s="556"/>
    </row>
    <row r="121" spans="1:10">
      <c r="A121" s="1143" t="s">
        <v>1470</v>
      </c>
      <c r="B121" s="1143"/>
      <c r="C121" s="1143"/>
      <c r="D121" s="1143" t="s">
        <v>1471</v>
      </c>
      <c r="E121" s="1143"/>
      <c r="F121" s="1143"/>
      <c r="G121" s="558" t="s">
        <v>1472</v>
      </c>
      <c r="H121" s="558" t="s">
        <v>1473</v>
      </c>
      <c r="I121" s="558" t="s">
        <v>386</v>
      </c>
      <c r="J121" s="556"/>
    </row>
    <row r="122" spans="1:10">
      <c r="A122" s="1143" t="s">
        <v>1442</v>
      </c>
      <c r="B122" s="1143"/>
      <c r="C122" s="1143"/>
      <c r="D122" s="1143" t="s">
        <v>1474</v>
      </c>
      <c r="E122" s="1143"/>
      <c r="F122" s="1143"/>
      <c r="G122" s="558" t="s">
        <v>1475</v>
      </c>
      <c r="H122" s="558" t="s">
        <v>72</v>
      </c>
      <c r="I122" s="558" t="s">
        <v>72</v>
      </c>
      <c r="J122" s="556"/>
    </row>
    <row r="123" spans="1:10">
      <c r="A123" s="1143" t="s">
        <v>387</v>
      </c>
      <c r="B123" s="1143"/>
      <c r="C123" s="1143"/>
      <c r="D123" s="1143" t="s">
        <v>1448</v>
      </c>
      <c r="E123" s="1143"/>
      <c r="F123" s="1143"/>
      <c r="G123" s="558" t="s">
        <v>1449</v>
      </c>
      <c r="H123" s="558" t="s">
        <v>1448</v>
      </c>
      <c r="I123" s="558" t="s">
        <v>72</v>
      </c>
      <c r="J123" s="556"/>
    </row>
    <row r="124" spans="1:10">
      <c r="A124" s="1143" t="s">
        <v>1476</v>
      </c>
      <c r="B124" s="1143"/>
      <c r="C124" s="1143"/>
      <c r="D124" s="1143" t="s">
        <v>352</v>
      </c>
      <c r="E124" s="1143"/>
      <c r="F124" s="1143"/>
      <c r="G124" s="558" t="s">
        <v>1477</v>
      </c>
      <c r="H124" s="558" t="s">
        <v>162</v>
      </c>
      <c r="I124" s="558" t="s">
        <v>406</v>
      </c>
      <c r="J124" s="556"/>
    </row>
    <row r="125" spans="1:10">
      <c r="A125" s="1143" t="s">
        <v>1478</v>
      </c>
      <c r="B125" s="1143"/>
      <c r="C125" s="1143"/>
      <c r="D125" s="1143" t="s">
        <v>1479</v>
      </c>
      <c r="E125" s="1143"/>
      <c r="F125" s="1143"/>
      <c r="G125" s="558" t="s">
        <v>1480</v>
      </c>
      <c r="H125" s="558" t="s">
        <v>1481</v>
      </c>
      <c r="I125" s="558" t="s">
        <v>1302</v>
      </c>
      <c r="J125" s="556"/>
    </row>
    <row r="126" spans="1:10">
      <c r="A126" s="1143" t="s">
        <v>1482</v>
      </c>
      <c r="B126" s="1143"/>
      <c r="C126" s="1143"/>
      <c r="D126" s="1143" t="s">
        <v>1483</v>
      </c>
      <c r="E126" s="1143"/>
      <c r="F126" s="1143"/>
      <c r="G126" s="558" t="s">
        <v>1368</v>
      </c>
      <c r="H126" s="558" t="s">
        <v>1484</v>
      </c>
      <c r="I126" s="558" t="s">
        <v>1485</v>
      </c>
      <c r="J126" s="556"/>
    </row>
    <row r="127" spans="1:10">
      <c r="A127" s="1143" t="s">
        <v>1486</v>
      </c>
      <c r="B127" s="1143"/>
      <c r="C127" s="1143"/>
      <c r="D127" s="1143" t="s">
        <v>1487</v>
      </c>
      <c r="E127" s="1143"/>
      <c r="F127" s="1143"/>
      <c r="G127" s="558" t="s">
        <v>1488</v>
      </c>
      <c r="H127" s="558" t="s">
        <v>1489</v>
      </c>
      <c r="I127" s="558" t="s">
        <v>1490</v>
      </c>
      <c r="J127" s="556"/>
    </row>
    <row r="128" spans="1:10">
      <c r="A128" s="1143" t="s">
        <v>1491</v>
      </c>
      <c r="B128" s="1143"/>
      <c r="C128" s="1143"/>
      <c r="D128" s="1143" t="s">
        <v>1492</v>
      </c>
      <c r="E128" s="1143"/>
      <c r="F128" s="1143"/>
      <c r="G128" s="558" t="s">
        <v>1493</v>
      </c>
      <c r="H128" s="558" t="s">
        <v>1182</v>
      </c>
      <c r="I128" s="558" t="s">
        <v>1494</v>
      </c>
      <c r="J128" s="556"/>
    </row>
    <row r="129" spans="1:10">
      <c r="A129" s="1143" t="s">
        <v>1442</v>
      </c>
      <c r="B129" s="1143"/>
      <c r="C129" s="1143"/>
      <c r="D129" s="1143" t="s">
        <v>1429</v>
      </c>
      <c r="E129" s="1143"/>
      <c r="F129" s="1143"/>
      <c r="G129" s="558" t="s">
        <v>1135</v>
      </c>
      <c r="H129" s="558" t="s">
        <v>72</v>
      </c>
      <c r="I129" s="558" t="s">
        <v>72</v>
      </c>
      <c r="J129" s="556"/>
    </row>
    <row r="130" spans="1:10">
      <c r="A130" s="1143" t="s">
        <v>443</v>
      </c>
      <c r="B130" s="1143"/>
      <c r="C130" s="1143"/>
      <c r="D130" s="1143" t="s">
        <v>68</v>
      </c>
      <c r="E130" s="1143"/>
      <c r="F130" s="1143"/>
      <c r="G130" s="558" t="s">
        <v>68</v>
      </c>
      <c r="H130" s="558" t="s">
        <v>68</v>
      </c>
      <c r="I130" s="558" t="s">
        <v>68</v>
      </c>
      <c r="J130" s="556"/>
    </row>
    <row r="131" spans="1:10">
      <c r="A131" s="1143" t="s">
        <v>1495</v>
      </c>
      <c r="B131" s="1143"/>
      <c r="C131" s="1143"/>
      <c r="D131" s="1143" t="s">
        <v>1496</v>
      </c>
      <c r="E131" s="1143"/>
      <c r="F131" s="1143"/>
      <c r="G131" s="558" t="s">
        <v>1000</v>
      </c>
      <c r="H131" s="558" t="s">
        <v>1496</v>
      </c>
      <c r="I131" s="558" t="s">
        <v>72</v>
      </c>
      <c r="J131" s="556"/>
    </row>
    <row r="132" spans="1:10">
      <c r="A132" s="1143" t="s">
        <v>1497</v>
      </c>
      <c r="B132" s="1143"/>
      <c r="C132" s="1143"/>
      <c r="D132" s="1143" t="s">
        <v>1498</v>
      </c>
      <c r="E132" s="1143"/>
      <c r="F132" s="1143"/>
      <c r="G132" s="558" t="s">
        <v>1499</v>
      </c>
      <c r="H132" s="558" t="s">
        <v>1500</v>
      </c>
      <c r="I132" s="558" t="s">
        <v>1465</v>
      </c>
      <c r="J132" s="556"/>
    </row>
    <row r="133" spans="1:10">
      <c r="A133" s="1143" t="s">
        <v>1501</v>
      </c>
      <c r="B133" s="1143"/>
      <c r="C133" s="1143"/>
      <c r="D133" s="1143" t="s">
        <v>1502</v>
      </c>
      <c r="E133" s="1143"/>
      <c r="F133" s="1143"/>
      <c r="G133" s="558" t="s">
        <v>1503</v>
      </c>
      <c r="H133" s="558" t="s">
        <v>1504</v>
      </c>
      <c r="I133" s="558" t="s">
        <v>418</v>
      </c>
      <c r="J133" s="556"/>
    </row>
    <row r="134" spans="1:10">
      <c r="A134" s="1143" t="s">
        <v>1505</v>
      </c>
      <c r="B134" s="1143"/>
      <c r="C134" s="1143"/>
      <c r="D134" s="1143" t="s">
        <v>1506</v>
      </c>
      <c r="E134" s="1143"/>
      <c r="F134" s="1143"/>
      <c r="G134" s="558" t="s">
        <v>269</v>
      </c>
      <c r="H134" s="558" t="s">
        <v>1507</v>
      </c>
      <c r="I134" s="558" t="s">
        <v>1202</v>
      </c>
      <c r="J134" s="556"/>
    </row>
    <row r="135" spans="1:10">
      <c r="A135" s="1143" t="s">
        <v>1508</v>
      </c>
      <c r="B135" s="1143"/>
      <c r="C135" s="1143"/>
      <c r="D135" s="1143" t="s">
        <v>1203</v>
      </c>
      <c r="E135" s="1143"/>
      <c r="F135" s="1143"/>
      <c r="G135" s="558" t="s">
        <v>1427</v>
      </c>
      <c r="H135" s="558" t="s">
        <v>234</v>
      </c>
      <c r="I135" s="558" t="s">
        <v>93</v>
      </c>
      <c r="J135" s="556"/>
    </row>
    <row r="136" spans="1:10">
      <c r="A136" s="1143" t="s">
        <v>1509</v>
      </c>
      <c r="B136" s="1143"/>
      <c r="C136" s="1143"/>
      <c r="D136" s="1143" t="s">
        <v>1039</v>
      </c>
      <c r="E136" s="1143"/>
      <c r="F136" s="1143"/>
      <c r="G136" s="558" t="s">
        <v>530</v>
      </c>
      <c r="H136" s="558" t="s">
        <v>1510</v>
      </c>
      <c r="I136" s="558" t="s">
        <v>1163</v>
      </c>
      <c r="J136" s="556"/>
    </row>
    <row r="137" spans="1:10">
      <c r="A137" s="1143" t="s">
        <v>1511</v>
      </c>
      <c r="B137" s="1143"/>
      <c r="C137" s="1143"/>
      <c r="D137" s="1143" t="s">
        <v>489</v>
      </c>
      <c r="E137" s="1143"/>
      <c r="F137" s="1143"/>
      <c r="G137" s="558" t="s">
        <v>490</v>
      </c>
      <c r="H137" s="558" t="s">
        <v>72</v>
      </c>
      <c r="I137" s="558" t="s">
        <v>72</v>
      </c>
      <c r="J137" s="556"/>
    </row>
    <row r="138" spans="1:10">
      <c r="A138" s="1143" t="s">
        <v>1512</v>
      </c>
      <c r="B138" s="1143"/>
      <c r="C138" s="1143"/>
      <c r="D138" s="1143" t="s">
        <v>1448</v>
      </c>
      <c r="E138" s="1143"/>
      <c r="F138" s="1143"/>
      <c r="G138" s="558" t="s">
        <v>1449</v>
      </c>
      <c r="H138" s="558" t="s">
        <v>1448</v>
      </c>
      <c r="I138" s="558" t="s">
        <v>72</v>
      </c>
      <c r="J138" s="556"/>
    </row>
    <row r="139" spans="1:10">
      <c r="A139" s="1143" t="s">
        <v>1513</v>
      </c>
      <c r="B139" s="1143"/>
      <c r="C139" s="1143"/>
      <c r="D139" s="1143" t="s">
        <v>1514</v>
      </c>
      <c r="E139" s="1143"/>
      <c r="F139" s="1143"/>
      <c r="G139" s="558" t="s">
        <v>542</v>
      </c>
      <c r="H139" s="558" t="s">
        <v>1515</v>
      </c>
      <c r="I139" s="558" t="s">
        <v>1516</v>
      </c>
      <c r="J139" s="556"/>
    </row>
    <row r="140" spans="1:10">
      <c r="A140" s="1143" t="s">
        <v>1517</v>
      </c>
      <c r="B140" s="1143"/>
      <c r="C140" s="1143"/>
      <c r="D140" s="1143" t="s">
        <v>1518</v>
      </c>
      <c r="E140" s="1143"/>
      <c r="F140" s="1143"/>
      <c r="G140" s="558" t="s">
        <v>1519</v>
      </c>
      <c r="H140" s="558" t="s">
        <v>543</v>
      </c>
      <c r="I140" s="558" t="s">
        <v>406</v>
      </c>
      <c r="J140" s="556"/>
    </row>
    <row r="141" spans="1:10">
      <c r="A141" s="1143" t="s">
        <v>1520</v>
      </c>
      <c r="B141" s="1143"/>
      <c r="C141" s="1143"/>
      <c r="D141" s="1143" t="s">
        <v>1521</v>
      </c>
      <c r="E141" s="1143"/>
      <c r="F141" s="1143"/>
      <c r="G141" s="558" t="s">
        <v>1522</v>
      </c>
      <c r="H141" s="558" t="s">
        <v>405</v>
      </c>
      <c r="I141" s="558" t="s">
        <v>386</v>
      </c>
      <c r="J141" s="556"/>
    </row>
    <row r="142" spans="1:10">
      <c r="A142" s="1143" t="s">
        <v>1501</v>
      </c>
      <c r="B142" s="1143"/>
      <c r="C142" s="1143"/>
      <c r="D142" s="1143" t="s">
        <v>1405</v>
      </c>
      <c r="E142" s="1143"/>
      <c r="F142" s="1143"/>
      <c r="G142" s="558" t="s">
        <v>1123</v>
      </c>
      <c r="H142" s="558" t="s">
        <v>1210</v>
      </c>
      <c r="I142" s="558" t="s">
        <v>77</v>
      </c>
      <c r="J142" s="556"/>
    </row>
    <row r="143" spans="1:10">
      <c r="A143" s="1143" t="s">
        <v>1505</v>
      </c>
      <c r="B143" s="1143"/>
      <c r="C143" s="1143"/>
      <c r="D143" s="1143" t="s">
        <v>1523</v>
      </c>
      <c r="E143" s="1143"/>
      <c r="F143" s="1143"/>
      <c r="G143" s="558" t="s">
        <v>442</v>
      </c>
      <c r="H143" s="558" t="s">
        <v>121</v>
      </c>
      <c r="I143" s="558" t="s">
        <v>77</v>
      </c>
      <c r="J143" s="556"/>
    </row>
    <row r="144" spans="1:10">
      <c r="A144" s="1143" t="s">
        <v>1508</v>
      </c>
      <c r="B144" s="1143"/>
      <c r="C144" s="1143"/>
      <c r="D144" s="1143" t="s">
        <v>1207</v>
      </c>
      <c r="E144" s="1143"/>
      <c r="F144" s="1143"/>
      <c r="G144" s="558" t="s">
        <v>1208</v>
      </c>
      <c r="H144" s="558" t="s">
        <v>1524</v>
      </c>
      <c r="I144" s="558" t="s">
        <v>113</v>
      </c>
      <c r="J144" s="556"/>
    </row>
    <row r="145" spans="1:10">
      <c r="A145" s="1143" t="s">
        <v>1509</v>
      </c>
      <c r="B145" s="1143"/>
      <c r="C145" s="1143"/>
      <c r="D145" s="1143" t="s">
        <v>1525</v>
      </c>
      <c r="E145" s="1143"/>
      <c r="F145" s="1143"/>
      <c r="G145" s="558" t="s">
        <v>1526</v>
      </c>
      <c r="H145" s="558" t="s">
        <v>1326</v>
      </c>
      <c r="I145" s="558" t="s">
        <v>411</v>
      </c>
      <c r="J145" s="556"/>
    </row>
    <row r="146" spans="1:10">
      <c r="A146" s="1143" t="s">
        <v>1511</v>
      </c>
      <c r="B146" s="1143"/>
      <c r="C146" s="1143"/>
      <c r="D146" s="1143" t="s">
        <v>45</v>
      </c>
      <c r="E146" s="1143"/>
      <c r="F146" s="1143"/>
      <c r="G146" s="558" t="s">
        <v>361</v>
      </c>
      <c r="H146" s="558" t="s">
        <v>72</v>
      </c>
      <c r="I146" s="558" t="s">
        <v>72</v>
      </c>
      <c r="J146" s="556"/>
    </row>
    <row r="147" spans="1:10">
      <c r="A147" s="1143" t="s">
        <v>493</v>
      </c>
      <c r="B147" s="1143"/>
      <c r="C147" s="1143"/>
      <c r="D147" s="1143" t="s">
        <v>68</v>
      </c>
      <c r="E147" s="1143"/>
      <c r="F147" s="1143"/>
      <c r="G147" s="558" t="s">
        <v>68</v>
      </c>
      <c r="H147" s="558" t="s">
        <v>68</v>
      </c>
      <c r="I147" s="558" t="s">
        <v>68</v>
      </c>
      <c r="J147" s="556"/>
    </row>
    <row r="148" spans="1:10">
      <c r="A148" s="1143" t="s">
        <v>1527</v>
      </c>
      <c r="B148" s="1143"/>
      <c r="C148" s="1143"/>
      <c r="D148" s="1143" t="s">
        <v>1528</v>
      </c>
      <c r="E148" s="1143"/>
      <c r="F148" s="1143"/>
      <c r="G148" s="558" t="s">
        <v>1529</v>
      </c>
      <c r="H148" s="558" t="s">
        <v>1528</v>
      </c>
      <c r="I148" s="558" t="s">
        <v>72</v>
      </c>
      <c r="J148" s="556"/>
    </row>
    <row r="149" spans="1:10">
      <c r="A149" s="1143" t="s">
        <v>1530</v>
      </c>
      <c r="B149" s="1143"/>
      <c r="C149" s="1143"/>
      <c r="D149" s="1143" t="s">
        <v>1531</v>
      </c>
      <c r="E149" s="1143"/>
      <c r="F149" s="1143"/>
      <c r="G149" s="558" t="s">
        <v>1427</v>
      </c>
      <c r="H149" s="558" t="s">
        <v>1532</v>
      </c>
      <c r="I149" s="558" t="s">
        <v>84</v>
      </c>
      <c r="J149" s="556"/>
    </row>
    <row r="150" spans="1:10">
      <c r="A150" s="1143" t="s">
        <v>1482</v>
      </c>
      <c r="B150" s="1143"/>
      <c r="C150" s="1143"/>
      <c r="D150" s="1143" t="s">
        <v>1533</v>
      </c>
      <c r="E150" s="1143"/>
      <c r="F150" s="1143"/>
      <c r="G150" s="558" t="s">
        <v>1534</v>
      </c>
      <c r="H150" s="558" t="s">
        <v>1535</v>
      </c>
      <c r="I150" s="558" t="s">
        <v>122</v>
      </c>
      <c r="J150" s="556"/>
    </row>
    <row r="151" spans="1:10">
      <c r="A151" s="1143" t="s">
        <v>1454</v>
      </c>
      <c r="B151" s="1143"/>
      <c r="C151" s="1143"/>
      <c r="D151" s="1143" t="s">
        <v>1536</v>
      </c>
      <c r="E151" s="1143"/>
      <c r="F151" s="1143"/>
      <c r="G151" s="558" t="s">
        <v>1400</v>
      </c>
      <c r="H151" s="558" t="s">
        <v>1537</v>
      </c>
      <c r="I151" s="558" t="s">
        <v>264</v>
      </c>
      <c r="J151" s="556"/>
    </row>
    <row r="152" spans="1:10">
      <c r="A152" s="1143" t="s">
        <v>1538</v>
      </c>
      <c r="B152" s="1143"/>
      <c r="C152" s="1143"/>
      <c r="D152" s="1143" t="s">
        <v>1539</v>
      </c>
      <c r="E152" s="1143"/>
      <c r="F152" s="1143"/>
      <c r="G152" s="558" t="s">
        <v>1540</v>
      </c>
      <c r="H152" s="558" t="s">
        <v>1541</v>
      </c>
      <c r="I152" s="558" t="s">
        <v>1141</v>
      </c>
      <c r="J152" s="556"/>
    </row>
    <row r="153" spans="1:10">
      <c r="A153" s="1143" t="s">
        <v>1542</v>
      </c>
      <c r="B153" s="1143"/>
      <c r="C153" s="1143"/>
      <c r="D153" s="1143" t="s">
        <v>1543</v>
      </c>
      <c r="E153" s="1143"/>
      <c r="F153" s="1143"/>
      <c r="G153" s="558" t="s">
        <v>1544</v>
      </c>
      <c r="H153" s="558" t="s">
        <v>1545</v>
      </c>
      <c r="I153" s="558" t="s">
        <v>1196</v>
      </c>
      <c r="J153" s="556"/>
    </row>
    <row r="154" spans="1:10">
      <c r="A154" s="1143" t="s">
        <v>1461</v>
      </c>
      <c r="B154" s="1143"/>
      <c r="C154" s="1143"/>
      <c r="D154" s="1143" t="s">
        <v>1546</v>
      </c>
      <c r="E154" s="1143"/>
      <c r="F154" s="1143"/>
      <c r="G154" s="558" t="s">
        <v>1294</v>
      </c>
      <c r="H154" s="558" t="s">
        <v>1547</v>
      </c>
      <c r="I154" s="558" t="s">
        <v>401</v>
      </c>
      <c r="J154" s="556"/>
    </row>
    <row r="155" spans="1:10">
      <c r="A155" s="1143" t="s">
        <v>1548</v>
      </c>
      <c r="B155" s="1143"/>
      <c r="C155" s="1143"/>
      <c r="D155" s="1143" t="s">
        <v>1549</v>
      </c>
      <c r="E155" s="1143"/>
      <c r="F155" s="1143"/>
      <c r="G155" s="558" t="s">
        <v>1446</v>
      </c>
      <c r="H155" s="558" t="s">
        <v>375</v>
      </c>
      <c r="I155" s="558" t="s">
        <v>284</v>
      </c>
      <c r="J155" s="556"/>
    </row>
    <row r="156" spans="1:10">
      <c r="A156" s="1143" t="s">
        <v>1442</v>
      </c>
      <c r="B156" s="1143"/>
      <c r="C156" s="1143"/>
      <c r="D156" s="1143" t="s">
        <v>1287</v>
      </c>
      <c r="E156" s="1143"/>
      <c r="F156" s="1143"/>
      <c r="G156" s="558" t="s">
        <v>1123</v>
      </c>
      <c r="H156" s="558" t="s">
        <v>72</v>
      </c>
      <c r="I156" s="558" t="s">
        <v>72</v>
      </c>
      <c r="J156" s="556"/>
    </row>
    <row r="157" spans="1:10">
      <c r="A157" s="1143" t="s">
        <v>1550</v>
      </c>
      <c r="B157" s="1143"/>
      <c r="C157" s="1143"/>
      <c r="D157" s="1143" t="s">
        <v>1551</v>
      </c>
      <c r="E157" s="1143"/>
      <c r="F157" s="1143"/>
      <c r="G157" s="558" t="s">
        <v>486</v>
      </c>
      <c r="H157" s="558" t="s">
        <v>72</v>
      </c>
      <c r="I157" s="558" t="s">
        <v>72</v>
      </c>
      <c r="J157" s="556"/>
    </row>
    <row r="158" spans="1:10">
      <c r="A158" s="1143" t="s">
        <v>524</v>
      </c>
      <c r="B158" s="1143"/>
      <c r="C158" s="1143"/>
      <c r="D158" s="1143" t="s">
        <v>68</v>
      </c>
      <c r="E158" s="1143"/>
      <c r="F158" s="1143"/>
      <c r="G158" s="558" t="s">
        <v>68</v>
      </c>
      <c r="H158" s="558" t="s">
        <v>68</v>
      </c>
      <c r="I158" s="558" t="s">
        <v>68</v>
      </c>
      <c r="J158" s="556"/>
    </row>
    <row r="159" spans="1:10">
      <c r="A159" s="1143" t="s">
        <v>1552</v>
      </c>
      <c r="B159" s="1143"/>
      <c r="C159" s="1143"/>
      <c r="D159" s="1143" t="s">
        <v>1553</v>
      </c>
      <c r="E159" s="1143"/>
      <c r="F159" s="1143"/>
      <c r="G159" s="558" t="s">
        <v>1554</v>
      </c>
      <c r="H159" s="558" t="s">
        <v>1553</v>
      </c>
      <c r="I159" s="558" t="s">
        <v>72</v>
      </c>
      <c r="J159" s="556"/>
    </row>
    <row r="160" spans="1:10">
      <c r="A160" s="1143" t="s">
        <v>1555</v>
      </c>
      <c r="B160" s="1143"/>
      <c r="C160" s="1143"/>
      <c r="D160" s="1143" t="s">
        <v>1556</v>
      </c>
      <c r="E160" s="1143"/>
      <c r="F160" s="1143"/>
      <c r="G160" s="558" t="s">
        <v>1400</v>
      </c>
      <c r="H160" s="558" t="s">
        <v>1244</v>
      </c>
      <c r="I160" s="558" t="s">
        <v>264</v>
      </c>
      <c r="J160" s="556"/>
    </row>
    <row r="161" spans="1:10">
      <c r="A161" s="1143" t="s">
        <v>1520</v>
      </c>
      <c r="B161" s="1143"/>
      <c r="C161" s="1143"/>
      <c r="D161" s="1143" t="s">
        <v>1557</v>
      </c>
      <c r="E161" s="1143"/>
      <c r="F161" s="1143"/>
      <c r="G161" s="558" t="s">
        <v>1065</v>
      </c>
      <c r="H161" s="558" t="s">
        <v>1205</v>
      </c>
      <c r="I161" s="558" t="s">
        <v>109</v>
      </c>
      <c r="J161" s="556"/>
    </row>
    <row r="162" spans="1:10">
      <c r="A162" s="1143" t="s">
        <v>1501</v>
      </c>
      <c r="B162" s="1143"/>
      <c r="C162" s="1143"/>
      <c r="D162" s="1143" t="s">
        <v>1558</v>
      </c>
      <c r="E162" s="1143"/>
      <c r="F162" s="1143"/>
      <c r="G162" s="558" t="s">
        <v>1181</v>
      </c>
      <c r="H162" s="558" t="s">
        <v>1559</v>
      </c>
      <c r="I162" s="558" t="s">
        <v>142</v>
      </c>
      <c r="J162" s="556"/>
    </row>
    <row r="163" spans="1:10">
      <c r="A163" s="1143" t="s">
        <v>1505</v>
      </c>
      <c r="B163" s="1143"/>
      <c r="C163" s="1143"/>
      <c r="D163" s="1143" t="s">
        <v>1560</v>
      </c>
      <c r="E163" s="1143"/>
      <c r="F163" s="1143"/>
      <c r="G163" s="558" t="s">
        <v>534</v>
      </c>
      <c r="H163" s="558" t="s">
        <v>263</v>
      </c>
      <c r="I163" s="558" t="s">
        <v>993</v>
      </c>
      <c r="J163" s="556"/>
    </row>
    <row r="164" spans="1:10">
      <c r="A164" s="1143" t="s">
        <v>1508</v>
      </c>
      <c r="B164" s="1143"/>
      <c r="C164" s="1143"/>
      <c r="D164" s="1143" t="s">
        <v>1561</v>
      </c>
      <c r="E164" s="1143"/>
      <c r="F164" s="1143"/>
      <c r="G164" s="558" t="s">
        <v>530</v>
      </c>
      <c r="H164" s="558" t="s">
        <v>1117</v>
      </c>
      <c r="I164" s="558" t="s">
        <v>196</v>
      </c>
      <c r="J164" s="556"/>
    </row>
    <row r="165" spans="1:10">
      <c r="A165" s="1143" t="s">
        <v>1509</v>
      </c>
      <c r="B165" s="1143"/>
      <c r="C165" s="1143"/>
      <c r="D165" s="1143" t="s">
        <v>1562</v>
      </c>
      <c r="E165" s="1143"/>
      <c r="F165" s="1143"/>
      <c r="G165" s="558" t="s">
        <v>1563</v>
      </c>
      <c r="H165" s="558" t="s">
        <v>1564</v>
      </c>
      <c r="I165" s="558" t="s">
        <v>1460</v>
      </c>
      <c r="J165" s="556"/>
    </row>
    <row r="166" spans="1:10">
      <c r="A166" s="1143" t="s">
        <v>1511</v>
      </c>
      <c r="B166" s="1143"/>
      <c r="C166" s="1143"/>
      <c r="D166" s="1143" t="s">
        <v>1095</v>
      </c>
      <c r="E166" s="1143"/>
      <c r="F166" s="1143"/>
      <c r="G166" s="558" t="s">
        <v>1189</v>
      </c>
      <c r="H166" s="558" t="s">
        <v>72</v>
      </c>
      <c r="I166" s="558" t="s">
        <v>72</v>
      </c>
      <c r="J166" s="556"/>
    </row>
    <row r="167" spans="1:10">
      <c r="A167" s="556" t="s">
        <v>68</v>
      </c>
      <c r="B167" s="1144" t="s">
        <v>1565</v>
      </c>
      <c r="C167" s="1144"/>
      <c r="D167" s="1144"/>
      <c r="E167" s="1144"/>
      <c r="F167" s="556"/>
      <c r="G167" s="556"/>
      <c r="H167" s="556"/>
      <c r="I167" s="556"/>
      <c r="J167" s="556"/>
    </row>
    <row r="168" spans="1:10">
      <c r="A168" s="556"/>
      <c r="B168" s="1144"/>
      <c r="C168" s="1144"/>
      <c r="D168" s="1144"/>
      <c r="E168" s="1144"/>
      <c r="F168" s="556"/>
      <c r="G168" s="556"/>
      <c r="H168" s="556"/>
      <c r="I168" s="556"/>
      <c r="J168" s="556"/>
    </row>
    <row r="169" spans="1:10">
      <c r="A169" s="556" t="s">
        <v>68</v>
      </c>
      <c r="B169" s="1144" t="s">
        <v>1566</v>
      </c>
      <c r="C169" s="1144"/>
      <c r="D169" s="1144"/>
      <c r="E169" s="1144"/>
      <c r="F169" s="556"/>
      <c r="G169" s="556"/>
      <c r="H169" s="556"/>
      <c r="I169" s="556"/>
      <c r="J169" s="556"/>
    </row>
    <row r="170" spans="1:10">
      <c r="A170" s="556"/>
      <c r="B170" s="1144"/>
      <c r="C170" s="1144"/>
      <c r="D170" s="1144"/>
      <c r="E170" s="1144"/>
      <c r="F170" s="556"/>
      <c r="G170" s="556"/>
      <c r="H170" s="556"/>
      <c r="I170" s="556"/>
      <c r="J170" s="556"/>
    </row>
    <row r="171" spans="1:10">
      <c r="A171" s="556" t="s">
        <v>68</v>
      </c>
      <c r="B171" s="1144" t="s">
        <v>1567</v>
      </c>
      <c r="C171" s="1144"/>
      <c r="D171" s="1144"/>
      <c r="E171" s="1144"/>
      <c r="F171" s="556"/>
      <c r="G171" s="556"/>
      <c r="H171" s="556"/>
      <c r="I171" s="556"/>
      <c r="J171" s="556"/>
    </row>
    <row r="172" spans="1:10">
      <c r="A172" s="556"/>
      <c r="B172" s="1144"/>
      <c r="C172" s="1144"/>
      <c r="D172" s="1144"/>
      <c r="E172" s="1144"/>
      <c r="F172" s="556"/>
      <c r="G172" s="556"/>
      <c r="H172" s="556"/>
      <c r="I172" s="556"/>
      <c r="J172" s="556"/>
    </row>
  </sheetData>
  <mergeCells count="326">
    <mergeCell ref="B171:E172"/>
    <mergeCell ref="B5:I6"/>
    <mergeCell ref="A4:I4"/>
    <mergeCell ref="A165:C165"/>
    <mergeCell ref="D165:F165"/>
    <mergeCell ref="A166:C166"/>
    <mergeCell ref="D166:F166"/>
    <mergeCell ref="B167:E168"/>
    <mergeCell ref="B169:E170"/>
    <mergeCell ref="A162:C162"/>
    <mergeCell ref="D162:F162"/>
    <mergeCell ref="A163:C163"/>
    <mergeCell ref="D163:F163"/>
    <mergeCell ref="A164:C164"/>
    <mergeCell ref="D164:F164"/>
    <mergeCell ref="A159:C159"/>
    <mergeCell ref="D159:F159"/>
    <mergeCell ref="A160:C160"/>
    <mergeCell ref="D160:F160"/>
    <mergeCell ref="A161:C161"/>
    <mergeCell ref="D161:F161"/>
    <mergeCell ref="A156:C156"/>
    <mergeCell ref="D156:F156"/>
    <mergeCell ref="A157:C157"/>
    <mergeCell ref="D157:F157"/>
    <mergeCell ref="A158:C158"/>
    <mergeCell ref="D158:F158"/>
    <mergeCell ref="A153:C153"/>
    <mergeCell ref="D153:F153"/>
    <mergeCell ref="A154:C154"/>
    <mergeCell ref="D154:F154"/>
    <mergeCell ref="A155:C155"/>
    <mergeCell ref="D155:F155"/>
    <mergeCell ref="A150:C150"/>
    <mergeCell ref="D150:F150"/>
    <mergeCell ref="A151:C151"/>
    <mergeCell ref="D151:F151"/>
    <mergeCell ref="A152:C152"/>
    <mergeCell ref="D152:F152"/>
    <mergeCell ref="A147:C147"/>
    <mergeCell ref="D147:F147"/>
    <mergeCell ref="A148:C148"/>
    <mergeCell ref="D148:F148"/>
    <mergeCell ref="A149:C149"/>
    <mergeCell ref="D149:F149"/>
    <mergeCell ref="A144:C144"/>
    <mergeCell ref="D144:F144"/>
    <mergeCell ref="A145:C145"/>
    <mergeCell ref="D145:F145"/>
    <mergeCell ref="A146:C146"/>
    <mergeCell ref="D146:F146"/>
    <mergeCell ref="A141:C141"/>
    <mergeCell ref="D141:F141"/>
    <mergeCell ref="A142:C142"/>
    <mergeCell ref="D142:F142"/>
    <mergeCell ref="A143:C143"/>
    <mergeCell ref="D143:F143"/>
    <mergeCell ref="A138:C138"/>
    <mergeCell ref="D138:F138"/>
    <mergeCell ref="A139:C139"/>
    <mergeCell ref="D139:F139"/>
    <mergeCell ref="A140:C140"/>
    <mergeCell ref="D140:F140"/>
    <mergeCell ref="A135:C135"/>
    <mergeCell ref="D135:F135"/>
    <mergeCell ref="A136:C136"/>
    <mergeCell ref="D136:F136"/>
    <mergeCell ref="A137:C137"/>
    <mergeCell ref="D137:F137"/>
    <mergeCell ref="A132:C132"/>
    <mergeCell ref="D132:F132"/>
    <mergeCell ref="A133:C133"/>
    <mergeCell ref="D133:F133"/>
    <mergeCell ref="A134:C134"/>
    <mergeCell ref="D134:F134"/>
    <mergeCell ref="A129:C129"/>
    <mergeCell ref="D129:F129"/>
    <mergeCell ref="A130:C130"/>
    <mergeCell ref="D130:F130"/>
    <mergeCell ref="A131:C131"/>
    <mergeCell ref="D131:F131"/>
    <mergeCell ref="A126:C126"/>
    <mergeCell ref="D126:F126"/>
    <mergeCell ref="A127:C127"/>
    <mergeCell ref="D127:F127"/>
    <mergeCell ref="A128:C128"/>
    <mergeCell ref="D128:F128"/>
    <mergeCell ref="A123:C123"/>
    <mergeCell ref="D123:F123"/>
    <mergeCell ref="A124:C124"/>
    <mergeCell ref="D124:F124"/>
    <mergeCell ref="A125:C125"/>
    <mergeCell ref="D125:F125"/>
    <mergeCell ref="A120:C120"/>
    <mergeCell ref="D120:F120"/>
    <mergeCell ref="A121:C121"/>
    <mergeCell ref="D121:F121"/>
    <mergeCell ref="A122:C122"/>
    <mergeCell ref="D122:F122"/>
    <mergeCell ref="A117:C117"/>
    <mergeCell ref="D117:F117"/>
    <mergeCell ref="A118:C118"/>
    <mergeCell ref="D118:F118"/>
    <mergeCell ref="A119:C119"/>
    <mergeCell ref="D119:F119"/>
    <mergeCell ref="A114:C114"/>
    <mergeCell ref="D114:F114"/>
    <mergeCell ref="A115:C115"/>
    <mergeCell ref="D115:F115"/>
    <mergeCell ref="A116:C116"/>
    <mergeCell ref="D116:F116"/>
    <mergeCell ref="A111:C111"/>
    <mergeCell ref="D111:F111"/>
    <mergeCell ref="A112:C112"/>
    <mergeCell ref="D112:F112"/>
    <mergeCell ref="A113:C113"/>
    <mergeCell ref="D113:F113"/>
    <mergeCell ref="A108:C108"/>
    <mergeCell ref="D108:F108"/>
    <mergeCell ref="A109:C109"/>
    <mergeCell ref="D109:F109"/>
    <mergeCell ref="A110:C110"/>
    <mergeCell ref="D110:F110"/>
    <mergeCell ref="A105:C105"/>
    <mergeCell ref="D105:F105"/>
    <mergeCell ref="A106:C106"/>
    <mergeCell ref="D106:F106"/>
    <mergeCell ref="A107:C107"/>
    <mergeCell ref="D107:F107"/>
    <mergeCell ref="A102:C102"/>
    <mergeCell ref="D102:F102"/>
    <mergeCell ref="A103:C103"/>
    <mergeCell ref="D103:F103"/>
    <mergeCell ref="A104:C104"/>
    <mergeCell ref="D104:F104"/>
    <mergeCell ref="A99:C99"/>
    <mergeCell ref="D99:F99"/>
    <mergeCell ref="A100:C100"/>
    <mergeCell ref="D100:F100"/>
    <mergeCell ref="A101:C101"/>
    <mergeCell ref="D101:F101"/>
    <mergeCell ref="A96:C96"/>
    <mergeCell ref="D96:F96"/>
    <mergeCell ref="A97:C97"/>
    <mergeCell ref="D97:F97"/>
    <mergeCell ref="A98:C98"/>
    <mergeCell ref="D98:F98"/>
    <mergeCell ref="A93:C93"/>
    <mergeCell ref="D93:F93"/>
    <mergeCell ref="A94:C94"/>
    <mergeCell ref="D94:F94"/>
    <mergeCell ref="A95:C95"/>
    <mergeCell ref="D95:F95"/>
    <mergeCell ref="A90:C90"/>
    <mergeCell ref="D90:F90"/>
    <mergeCell ref="A91:C91"/>
    <mergeCell ref="D91:F91"/>
    <mergeCell ref="A92:C92"/>
    <mergeCell ref="D92:F92"/>
    <mergeCell ref="A87:C87"/>
    <mergeCell ref="D87:F87"/>
    <mergeCell ref="A88:C88"/>
    <mergeCell ref="D88:F88"/>
    <mergeCell ref="A89:C89"/>
    <mergeCell ref="D89:F89"/>
    <mergeCell ref="A84:C84"/>
    <mergeCell ref="D84:F84"/>
    <mergeCell ref="A85:C85"/>
    <mergeCell ref="D85:F85"/>
    <mergeCell ref="A86:C86"/>
    <mergeCell ref="D86:F86"/>
    <mergeCell ref="A81:C81"/>
    <mergeCell ref="D81:F81"/>
    <mergeCell ref="A82:C82"/>
    <mergeCell ref="D82:F82"/>
    <mergeCell ref="A83:C83"/>
    <mergeCell ref="D83:F83"/>
    <mergeCell ref="A78:C78"/>
    <mergeCell ref="D78:F78"/>
    <mergeCell ref="A79:C79"/>
    <mergeCell ref="D79:F79"/>
    <mergeCell ref="A80:C80"/>
    <mergeCell ref="D80:F80"/>
    <mergeCell ref="A75:C75"/>
    <mergeCell ref="D75:F75"/>
    <mergeCell ref="A76:C76"/>
    <mergeCell ref="D76:F76"/>
    <mergeCell ref="A77:C77"/>
    <mergeCell ref="D77:F77"/>
    <mergeCell ref="A72:C72"/>
    <mergeCell ref="D72:F72"/>
    <mergeCell ref="A73:C73"/>
    <mergeCell ref="D73:F73"/>
    <mergeCell ref="A74:C74"/>
    <mergeCell ref="D74:F74"/>
    <mergeCell ref="A69:C69"/>
    <mergeCell ref="D69:F69"/>
    <mergeCell ref="A70:C70"/>
    <mergeCell ref="D70:F70"/>
    <mergeCell ref="A71:C71"/>
    <mergeCell ref="D71:F71"/>
    <mergeCell ref="A66:C66"/>
    <mergeCell ref="D66:F66"/>
    <mergeCell ref="A67:C67"/>
    <mergeCell ref="D67:F67"/>
    <mergeCell ref="A68:C68"/>
    <mergeCell ref="D68:F68"/>
    <mergeCell ref="A63:C63"/>
    <mergeCell ref="D63:F63"/>
    <mergeCell ref="A64:C64"/>
    <mergeCell ref="D64:F64"/>
    <mergeCell ref="A65:C65"/>
    <mergeCell ref="D65:F65"/>
    <mergeCell ref="A60:C60"/>
    <mergeCell ref="D60:F60"/>
    <mergeCell ref="A61:C61"/>
    <mergeCell ref="D61:F61"/>
    <mergeCell ref="A62:C62"/>
    <mergeCell ref="D62:F62"/>
    <mergeCell ref="A57:C57"/>
    <mergeCell ref="D57:F57"/>
    <mergeCell ref="A58:C58"/>
    <mergeCell ref="D58:F58"/>
    <mergeCell ref="A59:C59"/>
    <mergeCell ref="D59:F59"/>
    <mergeCell ref="A54:C54"/>
    <mergeCell ref="D54:F54"/>
    <mergeCell ref="A55:C55"/>
    <mergeCell ref="D55:F55"/>
    <mergeCell ref="A56:C56"/>
    <mergeCell ref="D56:F56"/>
    <mergeCell ref="A51:C51"/>
    <mergeCell ref="D51:F51"/>
    <mergeCell ref="A52:C52"/>
    <mergeCell ref="D52:F52"/>
    <mergeCell ref="A53:C53"/>
    <mergeCell ref="D53:F53"/>
    <mergeCell ref="A48:C48"/>
    <mergeCell ref="D48:F48"/>
    <mergeCell ref="A49:C49"/>
    <mergeCell ref="D49:F49"/>
    <mergeCell ref="A50:C50"/>
    <mergeCell ref="D50:F50"/>
    <mergeCell ref="A45:C45"/>
    <mergeCell ref="D45:F45"/>
    <mergeCell ref="A46:C46"/>
    <mergeCell ref="D46:F46"/>
    <mergeCell ref="A47:C47"/>
    <mergeCell ref="D47:F47"/>
    <mergeCell ref="A42:C42"/>
    <mergeCell ref="D42:F42"/>
    <mergeCell ref="A43:C43"/>
    <mergeCell ref="D43:F43"/>
    <mergeCell ref="A44:C44"/>
    <mergeCell ref="D44:F44"/>
    <mergeCell ref="A39:C39"/>
    <mergeCell ref="D39:F39"/>
    <mergeCell ref="A40:C40"/>
    <mergeCell ref="D40:F40"/>
    <mergeCell ref="A41:C41"/>
    <mergeCell ref="D41:F41"/>
    <mergeCell ref="A36:C36"/>
    <mergeCell ref="D36:F36"/>
    <mergeCell ref="A37:C37"/>
    <mergeCell ref="D37:F37"/>
    <mergeCell ref="A38:C38"/>
    <mergeCell ref="D38:F38"/>
    <mergeCell ref="A33:C33"/>
    <mergeCell ref="D33:F33"/>
    <mergeCell ref="A34:C34"/>
    <mergeCell ref="D34:F34"/>
    <mergeCell ref="A35:C35"/>
    <mergeCell ref="D35:F35"/>
    <mergeCell ref="A30:C30"/>
    <mergeCell ref="D30:F30"/>
    <mergeCell ref="A31:C31"/>
    <mergeCell ref="D31:F31"/>
    <mergeCell ref="A32:C32"/>
    <mergeCell ref="D32:F32"/>
    <mergeCell ref="A27:C27"/>
    <mergeCell ref="D27:F27"/>
    <mergeCell ref="A28:C28"/>
    <mergeCell ref="D28:F28"/>
    <mergeCell ref="A29:C29"/>
    <mergeCell ref="D29:F29"/>
    <mergeCell ref="A24:C24"/>
    <mergeCell ref="D24:F24"/>
    <mergeCell ref="A25:C25"/>
    <mergeCell ref="D25:F25"/>
    <mergeCell ref="A26:C26"/>
    <mergeCell ref="D26:F26"/>
    <mergeCell ref="A21:C21"/>
    <mergeCell ref="D21:F21"/>
    <mergeCell ref="A22:C22"/>
    <mergeCell ref="D22:F22"/>
    <mergeCell ref="A23:C23"/>
    <mergeCell ref="D23:F23"/>
    <mergeCell ref="A18:C18"/>
    <mergeCell ref="D18:F18"/>
    <mergeCell ref="A19:C19"/>
    <mergeCell ref="D19:F19"/>
    <mergeCell ref="A20:C20"/>
    <mergeCell ref="D20:F20"/>
    <mergeCell ref="A15:C15"/>
    <mergeCell ref="D15:F15"/>
    <mergeCell ref="A16:C16"/>
    <mergeCell ref="D16:F16"/>
    <mergeCell ref="A17:C17"/>
    <mergeCell ref="D17:F17"/>
    <mergeCell ref="A3:D3"/>
    <mergeCell ref="A7:C7"/>
    <mergeCell ref="D7:G7"/>
    <mergeCell ref="H7:I7"/>
    <mergeCell ref="A12:C12"/>
    <mergeCell ref="D12:F12"/>
    <mergeCell ref="A13:C13"/>
    <mergeCell ref="D13:F13"/>
    <mergeCell ref="A14:C14"/>
    <mergeCell ref="D14:F14"/>
    <mergeCell ref="D8:F8"/>
    <mergeCell ref="A9:C9"/>
    <mergeCell ref="D9:F9"/>
    <mergeCell ref="A10:C10"/>
    <mergeCell ref="D10:F10"/>
    <mergeCell ref="A11:C11"/>
    <mergeCell ref="D11:F11"/>
  </mergeCell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J180"/>
  <sheetViews>
    <sheetView topLeftCell="A10" workbookViewId="0">
      <selection activeCell="A15" sqref="A15:I25"/>
    </sheetView>
  </sheetViews>
  <sheetFormatPr defaultRowHeight="15"/>
  <cols>
    <col min="1" max="6" width="14.140625" bestFit="1" customWidth="1"/>
  </cols>
  <sheetData>
    <row r="1" spans="1:10" s="697" customFormat="1">
      <c r="A1" s="900" t="s">
        <v>2257</v>
      </c>
      <c r="B1" s="901"/>
      <c r="C1" s="902"/>
      <c r="D1" s="12"/>
      <c r="E1" s="12"/>
      <c r="F1" s="12"/>
      <c r="G1" s="12"/>
    </row>
    <row r="2" spans="1:10" s="697" customFormat="1">
      <c r="A2" s="911"/>
      <c r="B2" s="905"/>
      <c r="C2" s="905"/>
      <c r="D2" s="12"/>
      <c r="E2" s="12"/>
      <c r="F2" s="12"/>
      <c r="G2" s="12"/>
    </row>
    <row r="3" spans="1:10">
      <c r="A3" s="1144" t="s">
        <v>1569</v>
      </c>
      <c r="B3" s="1144"/>
      <c r="C3" s="1144"/>
      <c r="D3" s="1144"/>
      <c r="E3" s="561"/>
      <c r="F3" s="561"/>
      <c r="G3" s="561"/>
      <c r="H3" s="561"/>
      <c r="I3" s="561"/>
      <c r="J3" s="561"/>
    </row>
    <row r="4" spans="1:10">
      <c r="A4" s="1144" t="s">
        <v>1570</v>
      </c>
      <c r="B4" s="1144"/>
      <c r="C4" s="1144"/>
      <c r="D4" s="1144"/>
      <c r="E4" s="561"/>
      <c r="F4" s="561"/>
      <c r="G4" s="561"/>
      <c r="H4" s="561"/>
      <c r="I4" s="561"/>
      <c r="J4" s="561"/>
    </row>
    <row r="5" spans="1:10">
      <c r="A5" s="561" t="s">
        <v>68</v>
      </c>
      <c r="B5" s="1144" t="s">
        <v>1571</v>
      </c>
      <c r="C5" s="1144"/>
      <c r="D5" s="1144"/>
      <c r="E5" s="1144"/>
      <c r="F5" s="561"/>
      <c r="G5" s="561"/>
      <c r="H5" s="561"/>
      <c r="I5" s="561"/>
      <c r="J5" s="561"/>
    </row>
    <row r="6" spans="1:10">
      <c r="A6" s="561"/>
      <c r="B6" s="1144"/>
      <c r="C6" s="1144"/>
      <c r="D6" s="1144"/>
      <c r="E6" s="1144"/>
      <c r="F6" s="561"/>
      <c r="G6" s="561"/>
      <c r="H6" s="561"/>
      <c r="I6" s="561"/>
      <c r="J6" s="561"/>
    </row>
    <row r="7" spans="1:10">
      <c r="A7" s="1142" t="s">
        <v>1259</v>
      </c>
      <c r="B7" s="1142"/>
      <c r="C7" s="1142"/>
      <c r="D7" s="1143" t="s">
        <v>1260</v>
      </c>
      <c r="E7" s="1143"/>
      <c r="F7" s="1143"/>
      <c r="G7" s="1143"/>
      <c r="H7" s="1143" t="s">
        <v>65</v>
      </c>
      <c r="I7" s="1143"/>
      <c r="J7" s="561"/>
    </row>
    <row r="8" spans="1:10" ht="25.5">
      <c r="A8" s="13"/>
      <c r="B8" s="562"/>
      <c r="C8" s="15"/>
      <c r="D8" s="1143" t="s">
        <v>63</v>
      </c>
      <c r="E8" s="1143"/>
      <c r="F8" s="1143"/>
      <c r="G8" s="560" t="s">
        <v>64</v>
      </c>
      <c r="H8" s="560" t="s">
        <v>63</v>
      </c>
      <c r="I8" s="560" t="s">
        <v>64</v>
      </c>
      <c r="J8" s="561"/>
    </row>
    <row r="9" spans="1:10">
      <c r="A9" s="1143" t="s">
        <v>67</v>
      </c>
      <c r="B9" s="1143"/>
      <c r="C9" s="1143"/>
      <c r="D9" s="1143" t="s">
        <v>68</v>
      </c>
      <c r="E9" s="1143"/>
      <c r="F9" s="1143"/>
      <c r="G9" s="560" t="s">
        <v>68</v>
      </c>
      <c r="H9" s="560" t="s">
        <v>68</v>
      </c>
      <c r="I9" s="560" t="s">
        <v>68</v>
      </c>
      <c r="J9" s="561"/>
    </row>
    <row r="10" spans="1:10">
      <c r="A10" s="1143" t="s">
        <v>1261</v>
      </c>
      <c r="B10" s="1143"/>
      <c r="C10" s="1143"/>
      <c r="D10" s="1143" t="s">
        <v>1572</v>
      </c>
      <c r="E10" s="1143"/>
      <c r="F10" s="1143"/>
      <c r="G10" s="560" t="s">
        <v>1573</v>
      </c>
      <c r="H10" s="560" t="s">
        <v>1572</v>
      </c>
      <c r="I10" s="560" t="s">
        <v>72</v>
      </c>
      <c r="J10" s="561"/>
    </row>
    <row r="11" spans="1:10">
      <c r="A11" s="1143" t="s">
        <v>236</v>
      </c>
      <c r="B11" s="1143"/>
      <c r="C11" s="1143"/>
      <c r="D11" s="1143" t="s">
        <v>1574</v>
      </c>
      <c r="E11" s="1143"/>
      <c r="F11" s="1143"/>
      <c r="G11" s="560" t="s">
        <v>1575</v>
      </c>
      <c r="H11" s="560" t="s">
        <v>1576</v>
      </c>
      <c r="I11" s="560" t="s">
        <v>226</v>
      </c>
      <c r="J11" s="561"/>
    </row>
    <row r="12" spans="1:10">
      <c r="A12" s="1143" t="s">
        <v>1267</v>
      </c>
      <c r="B12" s="1143"/>
      <c r="C12" s="1143"/>
      <c r="D12" s="1143" t="s">
        <v>1577</v>
      </c>
      <c r="E12" s="1143"/>
      <c r="F12" s="1143"/>
      <c r="G12" s="560" t="s">
        <v>1578</v>
      </c>
      <c r="H12" s="560" t="s">
        <v>1579</v>
      </c>
      <c r="I12" s="560" t="s">
        <v>226</v>
      </c>
      <c r="J12" s="561"/>
    </row>
    <row r="13" spans="1:10">
      <c r="A13" s="1143" t="s">
        <v>1270</v>
      </c>
      <c r="B13" s="1143"/>
      <c r="C13" s="1143"/>
      <c r="D13" s="1143" t="s">
        <v>1580</v>
      </c>
      <c r="E13" s="1143"/>
      <c r="F13" s="1143"/>
      <c r="G13" s="560" t="s">
        <v>113</v>
      </c>
      <c r="H13" s="560" t="s">
        <v>72</v>
      </c>
      <c r="I13" s="560" t="s">
        <v>72</v>
      </c>
      <c r="J13" s="561"/>
    </row>
    <row r="14" spans="1:10">
      <c r="A14" s="1143" t="s">
        <v>1272</v>
      </c>
      <c r="B14" s="1143"/>
      <c r="C14" s="1143"/>
      <c r="D14" s="1143" t="s">
        <v>1581</v>
      </c>
      <c r="E14" s="1143"/>
      <c r="F14" s="1143"/>
      <c r="G14" s="560" t="s">
        <v>133</v>
      </c>
      <c r="H14" s="560" t="s">
        <v>72</v>
      </c>
      <c r="I14" s="560" t="s">
        <v>72</v>
      </c>
      <c r="J14" s="561"/>
    </row>
    <row r="15" spans="1:10">
      <c r="A15" s="1143" t="s">
        <v>88</v>
      </c>
      <c r="B15" s="1143"/>
      <c r="C15" s="1143"/>
      <c r="D15" s="1143" t="s">
        <v>68</v>
      </c>
      <c r="E15" s="1143"/>
      <c r="F15" s="1143"/>
      <c r="G15" s="560" t="s">
        <v>68</v>
      </c>
      <c r="H15" s="560" t="s">
        <v>68</v>
      </c>
      <c r="I15" s="560" t="s">
        <v>68</v>
      </c>
      <c r="J15" s="561"/>
    </row>
    <row r="16" spans="1:10">
      <c r="A16" s="1143" t="s">
        <v>1261</v>
      </c>
      <c r="B16" s="1143"/>
      <c r="C16" s="1143"/>
      <c r="D16" s="1143" t="s">
        <v>1572</v>
      </c>
      <c r="E16" s="1143"/>
      <c r="F16" s="1143"/>
      <c r="G16" s="560" t="s">
        <v>1573</v>
      </c>
      <c r="H16" s="560" t="s">
        <v>1572</v>
      </c>
      <c r="I16" s="560" t="s">
        <v>72</v>
      </c>
      <c r="J16" s="561"/>
    </row>
    <row r="17" spans="1:10">
      <c r="A17" s="1143" t="s">
        <v>89</v>
      </c>
      <c r="B17" s="1143"/>
      <c r="C17" s="1143"/>
      <c r="D17" s="1143" t="s">
        <v>1582</v>
      </c>
      <c r="E17" s="1143"/>
      <c r="F17" s="1143"/>
      <c r="G17" s="560" t="s">
        <v>1317</v>
      </c>
      <c r="H17" s="560" t="s">
        <v>1583</v>
      </c>
      <c r="I17" s="560" t="s">
        <v>113</v>
      </c>
      <c r="J17" s="561"/>
    </row>
    <row r="18" spans="1:10">
      <c r="A18" s="1143" t="s">
        <v>94</v>
      </c>
      <c r="B18" s="1143"/>
      <c r="C18" s="1143"/>
      <c r="D18" s="1143" t="s">
        <v>1584</v>
      </c>
      <c r="E18" s="1143"/>
      <c r="F18" s="1143"/>
      <c r="G18" s="560" t="s">
        <v>1585</v>
      </c>
      <c r="H18" s="560" t="s">
        <v>1159</v>
      </c>
      <c r="I18" s="560" t="s">
        <v>221</v>
      </c>
      <c r="J18" s="561"/>
    </row>
    <row r="19" spans="1:10">
      <c r="A19" s="1143" t="s">
        <v>98</v>
      </c>
      <c r="B19" s="1143"/>
      <c r="C19" s="1143"/>
      <c r="D19" s="1143" t="s">
        <v>1586</v>
      </c>
      <c r="E19" s="1143"/>
      <c r="F19" s="1143"/>
      <c r="G19" s="560" t="s">
        <v>1587</v>
      </c>
      <c r="H19" s="560" t="s">
        <v>1372</v>
      </c>
      <c r="I19" s="560" t="s">
        <v>264</v>
      </c>
      <c r="J19" s="561"/>
    </row>
    <row r="20" spans="1:10">
      <c r="A20" s="1143" t="s">
        <v>102</v>
      </c>
      <c r="B20" s="1143"/>
      <c r="C20" s="1143"/>
      <c r="D20" s="1143" t="s">
        <v>1588</v>
      </c>
      <c r="E20" s="1143"/>
      <c r="F20" s="1143"/>
      <c r="G20" s="560" t="s">
        <v>1589</v>
      </c>
      <c r="H20" s="560" t="s">
        <v>332</v>
      </c>
      <c r="I20" s="560" t="s">
        <v>205</v>
      </c>
      <c r="J20" s="561"/>
    </row>
    <row r="21" spans="1:10">
      <c r="A21" s="1143" t="s">
        <v>106</v>
      </c>
      <c r="B21" s="1143"/>
      <c r="C21" s="1143"/>
      <c r="D21" s="1143" t="s">
        <v>1590</v>
      </c>
      <c r="E21" s="1143"/>
      <c r="F21" s="1143"/>
      <c r="G21" s="560" t="s">
        <v>1591</v>
      </c>
      <c r="H21" s="560" t="s">
        <v>1012</v>
      </c>
      <c r="I21" s="560" t="s">
        <v>221</v>
      </c>
      <c r="J21" s="561"/>
    </row>
    <row r="22" spans="1:10">
      <c r="A22" s="1143" t="s">
        <v>110</v>
      </c>
      <c r="B22" s="1143"/>
      <c r="C22" s="1143"/>
      <c r="D22" s="1143" t="s">
        <v>1592</v>
      </c>
      <c r="E22" s="1143"/>
      <c r="F22" s="1143"/>
      <c r="G22" s="560" t="s">
        <v>1593</v>
      </c>
      <c r="H22" s="560" t="s">
        <v>1594</v>
      </c>
      <c r="I22" s="560" t="s">
        <v>406</v>
      </c>
      <c r="J22" s="561"/>
    </row>
    <row r="23" spans="1:10">
      <c r="A23" s="1143" t="s">
        <v>114</v>
      </c>
      <c r="B23" s="1143"/>
      <c r="C23" s="1143"/>
      <c r="D23" s="1143" t="s">
        <v>1595</v>
      </c>
      <c r="E23" s="1143"/>
      <c r="F23" s="1143"/>
      <c r="G23" s="560" t="s">
        <v>1016</v>
      </c>
      <c r="H23" s="560" t="s">
        <v>1372</v>
      </c>
      <c r="I23" s="560" t="s">
        <v>167</v>
      </c>
      <c r="J23" s="561"/>
    </row>
    <row r="24" spans="1:10">
      <c r="A24" s="1143" t="s">
        <v>118</v>
      </c>
      <c r="B24" s="1143"/>
      <c r="C24" s="1143"/>
      <c r="D24" s="1143" t="s">
        <v>1596</v>
      </c>
      <c r="E24" s="1143"/>
      <c r="F24" s="1143"/>
      <c r="G24" s="560" t="s">
        <v>471</v>
      </c>
      <c r="H24" s="560" t="s">
        <v>1597</v>
      </c>
      <c r="I24" s="560" t="s">
        <v>117</v>
      </c>
      <c r="J24" s="561"/>
    </row>
    <row r="25" spans="1:10">
      <c r="A25" s="1143" t="s">
        <v>123</v>
      </c>
      <c r="B25" s="1143"/>
      <c r="C25" s="1143"/>
      <c r="D25" s="1143" t="s">
        <v>1120</v>
      </c>
      <c r="E25" s="1143"/>
      <c r="F25" s="1143"/>
      <c r="G25" s="560" t="s">
        <v>1290</v>
      </c>
      <c r="H25" s="560" t="s">
        <v>126</v>
      </c>
      <c r="I25" s="560" t="s">
        <v>208</v>
      </c>
      <c r="J25" s="561"/>
    </row>
    <row r="26" spans="1:10">
      <c r="A26" s="1143" t="s">
        <v>128</v>
      </c>
      <c r="B26" s="1143"/>
      <c r="C26" s="1143"/>
      <c r="D26" s="1143" t="s">
        <v>68</v>
      </c>
      <c r="E26" s="1143"/>
      <c r="F26" s="1143"/>
      <c r="G26" s="560" t="s">
        <v>68</v>
      </c>
      <c r="H26" s="560" t="s">
        <v>68</v>
      </c>
      <c r="I26" s="560" t="s">
        <v>68</v>
      </c>
      <c r="J26" s="561"/>
    </row>
    <row r="27" spans="1:10">
      <c r="A27" s="1143" t="s">
        <v>1261</v>
      </c>
      <c r="B27" s="1143"/>
      <c r="C27" s="1143"/>
      <c r="D27" s="1143" t="s">
        <v>1572</v>
      </c>
      <c r="E27" s="1143"/>
      <c r="F27" s="1143"/>
      <c r="G27" s="560" t="s">
        <v>1573</v>
      </c>
      <c r="H27" s="560" t="s">
        <v>1572</v>
      </c>
      <c r="I27" s="560" t="s">
        <v>72</v>
      </c>
      <c r="J27" s="561"/>
    </row>
    <row r="28" spans="1:10">
      <c r="A28" s="1143" t="s">
        <v>129</v>
      </c>
      <c r="B28" s="1143"/>
      <c r="C28" s="1143"/>
      <c r="D28" s="1143" t="s">
        <v>1598</v>
      </c>
      <c r="E28" s="1143"/>
      <c r="F28" s="1143"/>
      <c r="G28" s="560" t="s">
        <v>1599</v>
      </c>
      <c r="H28" s="560" t="s">
        <v>1066</v>
      </c>
      <c r="I28" s="560" t="s">
        <v>133</v>
      </c>
      <c r="J28" s="561"/>
    </row>
    <row r="29" spans="1:10">
      <c r="A29" s="1143" t="s">
        <v>134</v>
      </c>
      <c r="B29" s="1143"/>
      <c r="C29" s="1143"/>
      <c r="D29" s="1143" t="s">
        <v>1600</v>
      </c>
      <c r="E29" s="1143"/>
      <c r="F29" s="1143"/>
      <c r="G29" s="560" t="s">
        <v>1601</v>
      </c>
      <c r="H29" s="560" t="s">
        <v>1093</v>
      </c>
      <c r="I29" s="560" t="s">
        <v>109</v>
      </c>
      <c r="J29" s="561"/>
    </row>
    <row r="30" spans="1:10">
      <c r="A30" s="1143" t="s">
        <v>138</v>
      </c>
      <c r="B30" s="1143"/>
      <c r="C30" s="1143"/>
      <c r="D30" s="1143" t="s">
        <v>1025</v>
      </c>
      <c r="E30" s="1143"/>
      <c r="F30" s="1143"/>
      <c r="G30" s="560" t="s">
        <v>1602</v>
      </c>
      <c r="H30" s="560" t="s">
        <v>1603</v>
      </c>
      <c r="I30" s="560" t="s">
        <v>284</v>
      </c>
      <c r="J30" s="561"/>
    </row>
    <row r="31" spans="1:10">
      <c r="A31" s="1143" t="s">
        <v>143</v>
      </c>
      <c r="B31" s="1143"/>
      <c r="C31" s="1143"/>
      <c r="D31" s="1143" t="s">
        <v>1604</v>
      </c>
      <c r="E31" s="1143"/>
      <c r="F31" s="1143"/>
      <c r="G31" s="560" t="s">
        <v>1605</v>
      </c>
      <c r="H31" s="560" t="s">
        <v>1298</v>
      </c>
      <c r="I31" s="560" t="s">
        <v>401</v>
      </c>
      <c r="J31" s="561"/>
    </row>
    <row r="32" spans="1:10">
      <c r="A32" s="1143" t="s">
        <v>147</v>
      </c>
      <c r="B32" s="1143"/>
      <c r="C32" s="1143"/>
      <c r="D32" s="1143" t="s">
        <v>1606</v>
      </c>
      <c r="E32" s="1143"/>
      <c r="F32" s="1143"/>
      <c r="G32" s="560" t="s">
        <v>1607</v>
      </c>
      <c r="H32" s="560" t="s">
        <v>1386</v>
      </c>
      <c r="I32" s="560" t="s">
        <v>458</v>
      </c>
      <c r="J32" s="561"/>
    </row>
    <row r="33" spans="1:10">
      <c r="A33" s="1143" t="s">
        <v>151</v>
      </c>
      <c r="B33" s="1143"/>
      <c r="C33" s="1143"/>
      <c r="D33" s="1143" t="s">
        <v>1608</v>
      </c>
      <c r="E33" s="1143"/>
      <c r="F33" s="1143"/>
      <c r="G33" s="560" t="s">
        <v>1609</v>
      </c>
      <c r="H33" s="560" t="s">
        <v>1610</v>
      </c>
      <c r="I33" s="560" t="s">
        <v>284</v>
      </c>
      <c r="J33" s="561"/>
    </row>
    <row r="34" spans="1:10">
      <c r="A34" s="1143" t="s">
        <v>155</v>
      </c>
      <c r="B34" s="1143"/>
      <c r="C34" s="1143"/>
      <c r="D34" s="1143" t="s">
        <v>1611</v>
      </c>
      <c r="E34" s="1143"/>
      <c r="F34" s="1143"/>
      <c r="G34" s="560" t="s">
        <v>1612</v>
      </c>
      <c r="H34" s="560" t="s">
        <v>1037</v>
      </c>
      <c r="I34" s="560" t="s">
        <v>196</v>
      </c>
      <c r="J34" s="561"/>
    </row>
    <row r="35" spans="1:10">
      <c r="A35" s="1143" t="s">
        <v>159</v>
      </c>
      <c r="B35" s="1143"/>
      <c r="C35" s="1143"/>
      <c r="D35" s="1143" t="s">
        <v>1613</v>
      </c>
      <c r="E35" s="1143"/>
      <c r="F35" s="1143"/>
      <c r="G35" s="560" t="s">
        <v>1614</v>
      </c>
      <c r="H35" s="560" t="s">
        <v>1524</v>
      </c>
      <c r="I35" s="560" t="s">
        <v>167</v>
      </c>
      <c r="J35" s="561"/>
    </row>
    <row r="36" spans="1:10">
      <c r="A36" s="1143" t="s">
        <v>163</v>
      </c>
      <c r="B36" s="1143"/>
      <c r="C36" s="1143"/>
      <c r="D36" s="1143" t="s">
        <v>1615</v>
      </c>
      <c r="E36" s="1143"/>
      <c r="F36" s="1143"/>
      <c r="G36" s="560" t="s">
        <v>1181</v>
      </c>
      <c r="H36" s="560" t="s">
        <v>1133</v>
      </c>
      <c r="I36" s="560" t="s">
        <v>105</v>
      </c>
      <c r="J36" s="561"/>
    </row>
    <row r="37" spans="1:10">
      <c r="A37" s="1143" t="s">
        <v>168</v>
      </c>
      <c r="B37" s="1143"/>
      <c r="C37" s="1143"/>
      <c r="D37" s="1143" t="s">
        <v>68</v>
      </c>
      <c r="E37" s="1143"/>
      <c r="F37" s="1143"/>
      <c r="G37" s="560" t="s">
        <v>68</v>
      </c>
      <c r="H37" s="560" t="s">
        <v>68</v>
      </c>
      <c r="I37" s="560" t="s">
        <v>68</v>
      </c>
      <c r="J37" s="561"/>
    </row>
    <row r="38" spans="1:10">
      <c r="A38" s="1143" t="s">
        <v>1261</v>
      </c>
      <c r="B38" s="1143"/>
      <c r="C38" s="1143"/>
      <c r="D38" s="1143" t="s">
        <v>1572</v>
      </c>
      <c r="E38" s="1143"/>
      <c r="F38" s="1143"/>
      <c r="G38" s="560" t="s">
        <v>1573</v>
      </c>
      <c r="H38" s="560" t="s">
        <v>1572</v>
      </c>
      <c r="I38" s="560" t="s">
        <v>72</v>
      </c>
      <c r="J38" s="561"/>
    </row>
    <row r="39" spans="1:10">
      <c r="A39" s="1143" t="s">
        <v>169</v>
      </c>
      <c r="B39" s="1143"/>
      <c r="C39" s="1143"/>
      <c r="D39" s="1143" t="s">
        <v>1616</v>
      </c>
      <c r="E39" s="1143"/>
      <c r="F39" s="1143"/>
      <c r="G39" s="560" t="s">
        <v>1499</v>
      </c>
      <c r="H39" s="560" t="s">
        <v>162</v>
      </c>
      <c r="I39" s="560" t="s">
        <v>117</v>
      </c>
      <c r="J39" s="561"/>
    </row>
    <row r="40" spans="1:10">
      <c r="A40" s="1143" t="s">
        <v>173</v>
      </c>
      <c r="B40" s="1143"/>
      <c r="C40" s="1143"/>
      <c r="D40" s="1143" t="s">
        <v>1617</v>
      </c>
      <c r="E40" s="1143"/>
      <c r="F40" s="1143"/>
      <c r="G40" s="560" t="s">
        <v>452</v>
      </c>
      <c r="H40" s="560" t="s">
        <v>1006</v>
      </c>
      <c r="I40" s="560" t="s">
        <v>133</v>
      </c>
      <c r="J40" s="561"/>
    </row>
    <row r="41" spans="1:10">
      <c r="A41" s="1143" t="s">
        <v>176</v>
      </c>
      <c r="B41" s="1143"/>
      <c r="C41" s="1143"/>
      <c r="D41" s="1143" t="s">
        <v>1618</v>
      </c>
      <c r="E41" s="1143"/>
      <c r="F41" s="1143"/>
      <c r="G41" s="560" t="s">
        <v>1619</v>
      </c>
      <c r="H41" s="560" t="s">
        <v>1559</v>
      </c>
      <c r="I41" s="560" t="s">
        <v>216</v>
      </c>
      <c r="J41" s="561"/>
    </row>
    <row r="42" spans="1:10">
      <c r="A42" s="1143" t="s">
        <v>180</v>
      </c>
      <c r="B42" s="1143"/>
      <c r="C42" s="1143"/>
      <c r="D42" s="1143" t="s">
        <v>1620</v>
      </c>
      <c r="E42" s="1143"/>
      <c r="F42" s="1143"/>
      <c r="G42" s="560" t="s">
        <v>1621</v>
      </c>
      <c r="H42" s="560" t="s">
        <v>1622</v>
      </c>
      <c r="I42" s="560" t="s">
        <v>458</v>
      </c>
      <c r="J42" s="561"/>
    </row>
    <row r="43" spans="1:10">
      <c r="A43" s="1143" t="s">
        <v>184</v>
      </c>
      <c r="B43" s="1143"/>
      <c r="C43" s="1143"/>
      <c r="D43" s="1143" t="s">
        <v>1623</v>
      </c>
      <c r="E43" s="1143"/>
      <c r="F43" s="1143"/>
      <c r="G43" s="560" t="s">
        <v>1389</v>
      </c>
      <c r="H43" s="560" t="s">
        <v>1624</v>
      </c>
      <c r="I43" s="560" t="s">
        <v>289</v>
      </c>
      <c r="J43" s="561"/>
    </row>
    <row r="44" spans="1:10">
      <c r="A44" s="1143" t="s">
        <v>188</v>
      </c>
      <c r="B44" s="1143"/>
      <c r="C44" s="1143"/>
      <c r="D44" s="1143" t="s">
        <v>1625</v>
      </c>
      <c r="E44" s="1143"/>
      <c r="F44" s="1143"/>
      <c r="G44" s="560" t="s">
        <v>1626</v>
      </c>
      <c r="H44" s="560" t="s">
        <v>1627</v>
      </c>
      <c r="I44" s="560" t="s">
        <v>1202</v>
      </c>
      <c r="J44" s="561"/>
    </row>
    <row r="45" spans="1:10">
      <c r="A45" s="1143" t="s">
        <v>192</v>
      </c>
      <c r="B45" s="1143"/>
      <c r="C45" s="1143"/>
      <c r="D45" s="1143" t="s">
        <v>1325</v>
      </c>
      <c r="E45" s="1143"/>
      <c r="F45" s="1143"/>
      <c r="G45" s="560" t="s">
        <v>1628</v>
      </c>
      <c r="H45" s="560" t="s">
        <v>1326</v>
      </c>
      <c r="I45" s="560" t="s">
        <v>376</v>
      </c>
      <c r="J45" s="561"/>
    </row>
    <row r="46" spans="1:10">
      <c r="A46" s="1143" t="s">
        <v>197</v>
      </c>
      <c r="B46" s="1143"/>
      <c r="C46" s="1143"/>
      <c r="D46" s="1143" t="s">
        <v>1629</v>
      </c>
      <c r="E46" s="1143"/>
      <c r="F46" s="1143"/>
      <c r="G46" s="560" t="s">
        <v>1630</v>
      </c>
      <c r="H46" s="560" t="s">
        <v>1579</v>
      </c>
      <c r="I46" s="560" t="s">
        <v>264</v>
      </c>
      <c r="J46" s="561"/>
    </row>
    <row r="47" spans="1:10">
      <c r="A47" s="1143" t="s">
        <v>201</v>
      </c>
      <c r="B47" s="1143"/>
      <c r="C47" s="1143"/>
      <c r="D47" s="1143" t="s">
        <v>1631</v>
      </c>
      <c r="E47" s="1143"/>
      <c r="F47" s="1143"/>
      <c r="G47" s="560" t="s">
        <v>1632</v>
      </c>
      <c r="H47" s="560" t="s">
        <v>1062</v>
      </c>
      <c r="I47" s="560" t="s">
        <v>93</v>
      </c>
      <c r="J47" s="561"/>
    </row>
    <row r="48" spans="1:10">
      <c r="A48" s="1143" t="s">
        <v>206</v>
      </c>
      <c r="B48" s="1143"/>
      <c r="C48" s="1143"/>
      <c r="D48" s="1143" t="s">
        <v>207</v>
      </c>
      <c r="E48" s="1143"/>
      <c r="F48" s="1143"/>
      <c r="G48" s="560" t="s">
        <v>208</v>
      </c>
      <c r="H48" s="560" t="s">
        <v>72</v>
      </c>
      <c r="I48" s="560" t="s">
        <v>72</v>
      </c>
      <c r="J48" s="561"/>
    </row>
    <row r="49" spans="1:10">
      <c r="A49" s="1143" t="s">
        <v>209</v>
      </c>
      <c r="B49" s="1143"/>
      <c r="C49" s="1143"/>
      <c r="D49" s="1143" t="s">
        <v>68</v>
      </c>
      <c r="E49" s="1143"/>
      <c r="F49" s="1143"/>
      <c r="G49" s="560" t="s">
        <v>68</v>
      </c>
      <c r="H49" s="560" t="s">
        <v>68</v>
      </c>
      <c r="I49" s="560" t="s">
        <v>68</v>
      </c>
      <c r="J49" s="561"/>
    </row>
    <row r="50" spans="1:10">
      <c r="A50" s="1143" t="s">
        <v>1261</v>
      </c>
      <c r="B50" s="1143"/>
      <c r="C50" s="1143"/>
      <c r="D50" s="1143" t="s">
        <v>1572</v>
      </c>
      <c r="E50" s="1143"/>
      <c r="F50" s="1143"/>
      <c r="G50" s="560" t="s">
        <v>1573</v>
      </c>
      <c r="H50" s="560" t="s">
        <v>1572</v>
      </c>
      <c r="I50" s="560" t="s">
        <v>72</v>
      </c>
      <c r="J50" s="561"/>
    </row>
    <row r="51" spans="1:10">
      <c r="A51" s="1143" t="s">
        <v>210</v>
      </c>
      <c r="B51" s="1143"/>
      <c r="C51" s="1143"/>
      <c r="D51" s="1143" t="s">
        <v>1004</v>
      </c>
      <c r="E51" s="1143"/>
      <c r="F51" s="1143"/>
      <c r="G51" s="560" t="s">
        <v>115</v>
      </c>
      <c r="H51" s="560" t="s">
        <v>1210</v>
      </c>
      <c r="I51" s="560" t="s">
        <v>117</v>
      </c>
      <c r="J51" s="561"/>
    </row>
    <row r="52" spans="1:10">
      <c r="A52" s="1143" t="s">
        <v>212</v>
      </c>
      <c r="B52" s="1143"/>
      <c r="C52" s="1143"/>
      <c r="D52" s="1143" t="s">
        <v>1633</v>
      </c>
      <c r="E52" s="1143"/>
      <c r="F52" s="1143"/>
      <c r="G52" s="560" t="s">
        <v>1634</v>
      </c>
      <c r="H52" s="560" t="s">
        <v>81</v>
      </c>
      <c r="I52" s="560" t="s">
        <v>216</v>
      </c>
      <c r="J52" s="561"/>
    </row>
    <row r="53" spans="1:10">
      <c r="A53" s="1143" t="s">
        <v>217</v>
      </c>
      <c r="B53" s="1143"/>
      <c r="C53" s="1143"/>
      <c r="D53" s="1143" t="s">
        <v>1635</v>
      </c>
      <c r="E53" s="1143"/>
      <c r="F53" s="1143"/>
      <c r="G53" s="560" t="s">
        <v>1636</v>
      </c>
      <c r="H53" s="560" t="s">
        <v>1637</v>
      </c>
      <c r="I53" s="560" t="s">
        <v>488</v>
      </c>
      <c r="J53" s="561"/>
    </row>
    <row r="54" spans="1:10">
      <c r="A54" s="1143" t="s">
        <v>222</v>
      </c>
      <c r="B54" s="1143"/>
      <c r="C54" s="1143"/>
      <c r="D54" s="1143" t="s">
        <v>1638</v>
      </c>
      <c r="E54" s="1143"/>
      <c r="F54" s="1143"/>
      <c r="G54" s="560" t="s">
        <v>1639</v>
      </c>
      <c r="H54" s="560" t="s">
        <v>1333</v>
      </c>
      <c r="I54" s="560" t="s">
        <v>406</v>
      </c>
      <c r="J54" s="561"/>
    </row>
    <row r="55" spans="1:10">
      <c r="A55" s="1143" t="s">
        <v>227</v>
      </c>
      <c r="B55" s="1143"/>
      <c r="C55" s="1143"/>
      <c r="D55" s="1143" t="s">
        <v>1640</v>
      </c>
      <c r="E55" s="1143"/>
      <c r="F55" s="1143"/>
      <c r="G55" s="560" t="s">
        <v>1607</v>
      </c>
      <c r="H55" s="560" t="s">
        <v>453</v>
      </c>
      <c r="I55" s="560" t="s">
        <v>458</v>
      </c>
      <c r="J55" s="561"/>
    </row>
    <row r="56" spans="1:10">
      <c r="A56" s="1143" t="s">
        <v>231</v>
      </c>
      <c r="B56" s="1143"/>
      <c r="C56" s="1143"/>
      <c r="D56" s="1143" t="s">
        <v>1641</v>
      </c>
      <c r="E56" s="1143"/>
      <c r="F56" s="1143"/>
      <c r="G56" s="560" t="s">
        <v>1181</v>
      </c>
      <c r="H56" s="560" t="s">
        <v>1244</v>
      </c>
      <c r="I56" s="560" t="s">
        <v>105</v>
      </c>
      <c r="J56" s="561"/>
    </row>
    <row r="57" spans="1:10">
      <c r="A57" s="1143" t="s">
        <v>235</v>
      </c>
      <c r="B57" s="1143"/>
      <c r="C57" s="1143"/>
      <c r="D57" s="1143" t="s">
        <v>68</v>
      </c>
      <c r="E57" s="1143"/>
      <c r="F57" s="1143"/>
      <c r="G57" s="560" t="s">
        <v>68</v>
      </c>
      <c r="H57" s="560" t="s">
        <v>68</v>
      </c>
      <c r="I57" s="560" t="s">
        <v>68</v>
      </c>
      <c r="J57" s="561"/>
    </row>
    <row r="58" spans="1:10">
      <c r="A58" s="1143" t="s">
        <v>73</v>
      </c>
      <c r="B58" s="1143"/>
      <c r="C58" s="1143"/>
      <c r="D58" s="1143" t="s">
        <v>1574</v>
      </c>
      <c r="E58" s="1143"/>
      <c r="F58" s="1143"/>
      <c r="G58" s="560" t="s">
        <v>1575</v>
      </c>
      <c r="H58" s="560" t="s">
        <v>1574</v>
      </c>
      <c r="I58" s="560" t="s">
        <v>72</v>
      </c>
      <c r="J58" s="561"/>
    </row>
    <row r="59" spans="1:10">
      <c r="A59" s="1143" t="s">
        <v>1340</v>
      </c>
      <c r="B59" s="1143"/>
      <c r="C59" s="1143"/>
      <c r="D59" s="1143" t="s">
        <v>1642</v>
      </c>
      <c r="E59" s="1143"/>
      <c r="F59" s="1143"/>
      <c r="G59" s="560" t="s">
        <v>1222</v>
      </c>
      <c r="H59" s="560" t="s">
        <v>1643</v>
      </c>
      <c r="I59" s="560" t="s">
        <v>150</v>
      </c>
      <c r="J59" s="561"/>
    </row>
    <row r="60" spans="1:10">
      <c r="A60" s="1143" t="s">
        <v>1343</v>
      </c>
      <c r="B60" s="1143"/>
      <c r="C60" s="1143"/>
      <c r="D60" s="1143" t="s">
        <v>1644</v>
      </c>
      <c r="E60" s="1143"/>
      <c r="F60" s="1143"/>
      <c r="G60" s="560" t="s">
        <v>1645</v>
      </c>
      <c r="H60" s="560" t="s">
        <v>1646</v>
      </c>
      <c r="I60" s="560" t="s">
        <v>150</v>
      </c>
      <c r="J60" s="561"/>
    </row>
    <row r="61" spans="1:10">
      <c r="A61" s="1143" t="s">
        <v>1347</v>
      </c>
      <c r="B61" s="1143"/>
      <c r="C61" s="1143"/>
      <c r="D61" s="1143" t="s">
        <v>1647</v>
      </c>
      <c r="E61" s="1143"/>
      <c r="F61" s="1143"/>
      <c r="G61" s="560" t="s">
        <v>250</v>
      </c>
      <c r="H61" s="560" t="s">
        <v>72</v>
      </c>
      <c r="I61" s="560" t="s">
        <v>72</v>
      </c>
      <c r="J61" s="561"/>
    </row>
    <row r="62" spans="1:10">
      <c r="A62" s="1143" t="s">
        <v>1349</v>
      </c>
      <c r="B62" s="1143"/>
      <c r="C62" s="1143"/>
      <c r="D62" s="1143" t="s">
        <v>1648</v>
      </c>
      <c r="E62" s="1143"/>
      <c r="F62" s="1143"/>
      <c r="G62" s="560" t="s">
        <v>1649</v>
      </c>
      <c r="H62" s="560" t="s">
        <v>72</v>
      </c>
      <c r="I62" s="560" t="s">
        <v>72</v>
      </c>
      <c r="J62" s="561"/>
    </row>
    <row r="63" spans="1:10">
      <c r="A63" s="1143" t="s">
        <v>251</v>
      </c>
      <c r="B63" s="1143"/>
      <c r="C63" s="1143"/>
      <c r="D63" s="1143" t="s">
        <v>68</v>
      </c>
      <c r="E63" s="1143"/>
      <c r="F63" s="1143"/>
      <c r="G63" s="560" t="s">
        <v>68</v>
      </c>
      <c r="H63" s="560" t="s">
        <v>68</v>
      </c>
      <c r="I63" s="560" t="s">
        <v>68</v>
      </c>
      <c r="J63" s="561"/>
    </row>
    <row r="64" spans="1:10">
      <c r="A64" s="1143" t="s">
        <v>73</v>
      </c>
      <c r="B64" s="1143"/>
      <c r="C64" s="1143"/>
      <c r="D64" s="1143" t="s">
        <v>1574</v>
      </c>
      <c r="E64" s="1143"/>
      <c r="F64" s="1143"/>
      <c r="G64" s="560" t="s">
        <v>1575</v>
      </c>
      <c r="H64" s="560" t="s">
        <v>1574</v>
      </c>
      <c r="I64" s="560" t="s">
        <v>72</v>
      </c>
      <c r="J64" s="561"/>
    </row>
    <row r="65" spans="1:10">
      <c r="A65" s="1143" t="s">
        <v>1352</v>
      </c>
      <c r="B65" s="1143"/>
      <c r="C65" s="1143"/>
      <c r="D65" s="1143" t="s">
        <v>1650</v>
      </c>
      <c r="E65" s="1143"/>
      <c r="F65" s="1143"/>
      <c r="G65" s="560" t="s">
        <v>1651</v>
      </c>
      <c r="H65" s="560" t="s">
        <v>1652</v>
      </c>
      <c r="I65" s="560" t="s">
        <v>1202</v>
      </c>
      <c r="J65" s="561"/>
    </row>
    <row r="66" spans="1:10">
      <c r="A66" s="1143" t="s">
        <v>1356</v>
      </c>
      <c r="B66" s="1143"/>
      <c r="C66" s="1143"/>
      <c r="D66" s="1143" t="s">
        <v>1653</v>
      </c>
      <c r="E66" s="1143"/>
      <c r="F66" s="1143"/>
      <c r="G66" s="560" t="s">
        <v>1246</v>
      </c>
      <c r="H66" s="560" t="s">
        <v>465</v>
      </c>
      <c r="I66" s="560" t="s">
        <v>401</v>
      </c>
      <c r="J66" s="561"/>
    </row>
    <row r="67" spans="1:10">
      <c r="A67" s="1143" t="s">
        <v>1360</v>
      </c>
      <c r="B67" s="1143"/>
      <c r="C67" s="1143"/>
      <c r="D67" s="1143" t="s">
        <v>1654</v>
      </c>
      <c r="E67" s="1143"/>
      <c r="F67" s="1143"/>
      <c r="G67" s="560" t="s">
        <v>1655</v>
      </c>
      <c r="H67" s="560" t="s">
        <v>1579</v>
      </c>
      <c r="I67" s="560" t="s">
        <v>93</v>
      </c>
      <c r="J67" s="561"/>
    </row>
    <row r="68" spans="1:10">
      <c r="A68" s="1143" t="s">
        <v>1364</v>
      </c>
      <c r="B68" s="1143"/>
      <c r="C68" s="1143"/>
      <c r="D68" s="1143" t="s">
        <v>1656</v>
      </c>
      <c r="E68" s="1143"/>
      <c r="F68" s="1143"/>
      <c r="G68" s="560" t="s">
        <v>1657</v>
      </c>
      <c r="H68" s="560" t="s">
        <v>1658</v>
      </c>
      <c r="I68" s="560" t="s">
        <v>93</v>
      </c>
      <c r="J68" s="561"/>
    </row>
    <row r="69" spans="1:10">
      <c r="A69" s="1143" t="s">
        <v>1366</v>
      </c>
      <c r="B69" s="1143"/>
      <c r="C69" s="1143"/>
      <c r="D69" s="1143" t="s">
        <v>1659</v>
      </c>
      <c r="E69" s="1143"/>
      <c r="F69" s="1143"/>
      <c r="G69" s="560" t="s">
        <v>433</v>
      </c>
      <c r="H69" s="560" t="s">
        <v>172</v>
      </c>
      <c r="I69" s="560" t="s">
        <v>275</v>
      </c>
      <c r="J69" s="561"/>
    </row>
    <row r="70" spans="1:10">
      <c r="A70" s="1143" t="s">
        <v>1369</v>
      </c>
      <c r="B70" s="1143"/>
      <c r="C70" s="1143"/>
      <c r="D70" s="1143" t="s">
        <v>1242</v>
      </c>
      <c r="E70" s="1143"/>
      <c r="F70" s="1143"/>
      <c r="G70" s="560" t="s">
        <v>1289</v>
      </c>
      <c r="H70" s="560" t="s">
        <v>1009</v>
      </c>
      <c r="I70" s="560" t="s">
        <v>133</v>
      </c>
      <c r="J70" s="561"/>
    </row>
    <row r="71" spans="1:10">
      <c r="A71" s="1143" t="s">
        <v>276</v>
      </c>
      <c r="B71" s="1143"/>
      <c r="C71" s="1143"/>
      <c r="D71" s="1143" t="s">
        <v>68</v>
      </c>
      <c r="E71" s="1143"/>
      <c r="F71" s="1143"/>
      <c r="G71" s="560" t="s">
        <v>68</v>
      </c>
      <c r="H71" s="560" t="s">
        <v>68</v>
      </c>
      <c r="I71" s="560" t="s">
        <v>68</v>
      </c>
      <c r="J71" s="561"/>
    </row>
    <row r="72" spans="1:10">
      <c r="A72" s="1143" t="s">
        <v>73</v>
      </c>
      <c r="B72" s="1143"/>
      <c r="C72" s="1143"/>
      <c r="D72" s="1143" t="s">
        <v>1574</v>
      </c>
      <c r="E72" s="1143"/>
      <c r="F72" s="1143"/>
      <c r="G72" s="560" t="s">
        <v>1575</v>
      </c>
      <c r="H72" s="560" t="s">
        <v>1574</v>
      </c>
      <c r="I72" s="560" t="s">
        <v>72</v>
      </c>
      <c r="J72" s="561"/>
    </row>
    <row r="73" spans="1:10">
      <c r="A73" s="1143" t="s">
        <v>1373</v>
      </c>
      <c r="B73" s="1143"/>
      <c r="C73" s="1143"/>
      <c r="D73" s="1143" t="s">
        <v>1660</v>
      </c>
      <c r="E73" s="1143"/>
      <c r="F73" s="1143"/>
      <c r="G73" s="560" t="s">
        <v>542</v>
      </c>
      <c r="H73" s="560" t="s">
        <v>104</v>
      </c>
      <c r="I73" s="560" t="s">
        <v>117</v>
      </c>
      <c r="J73" s="561"/>
    </row>
    <row r="74" spans="1:10">
      <c r="A74" s="1143" t="s">
        <v>1375</v>
      </c>
      <c r="B74" s="1143"/>
      <c r="C74" s="1143"/>
      <c r="D74" s="1143" t="s">
        <v>1661</v>
      </c>
      <c r="E74" s="1143"/>
      <c r="F74" s="1143"/>
      <c r="G74" s="560" t="s">
        <v>1662</v>
      </c>
      <c r="H74" s="560" t="s">
        <v>1663</v>
      </c>
      <c r="I74" s="560" t="s">
        <v>386</v>
      </c>
      <c r="J74" s="561"/>
    </row>
    <row r="75" spans="1:10">
      <c r="A75" s="1143" t="s">
        <v>1379</v>
      </c>
      <c r="B75" s="1143"/>
      <c r="C75" s="1143"/>
      <c r="D75" s="1143" t="s">
        <v>1642</v>
      </c>
      <c r="E75" s="1143"/>
      <c r="F75" s="1143"/>
      <c r="G75" s="560" t="s">
        <v>1664</v>
      </c>
      <c r="H75" s="560" t="s">
        <v>1643</v>
      </c>
      <c r="I75" s="560" t="s">
        <v>481</v>
      </c>
      <c r="J75" s="561"/>
    </row>
    <row r="76" spans="1:10">
      <c r="A76" s="1143" t="s">
        <v>1383</v>
      </c>
      <c r="B76" s="1143"/>
      <c r="C76" s="1143"/>
      <c r="D76" s="1143" t="s">
        <v>1665</v>
      </c>
      <c r="E76" s="1143"/>
      <c r="F76" s="1143"/>
      <c r="G76" s="560" t="s">
        <v>1666</v>
      </c>
      <c r="H76" s="560" t="s">
        <v>1667</v>
      </c>
      <c r="I76" s="560" t="s">
        <v>458</v>
      </c>
      <c r="J76" s="561"/>
    </row>
    <row r="77" spans="1:10">
      <c r="A77" s="1143" t="s">
        <v>294</v>
      </c>
      <c r="B77" s="1143"/>
      <c r="C77" s="1143"/>
      <c r="D77" s="1143" t="s">
        <v>68</v>
      </c>
      <c r="E77" s="1143"/>
      <c r="F77" s="1143"/>
      <c r="G77" s="560" t="s">
        <v>68</v>
      </c>
      <c r="H77" s="560" t="s">
        <v>68</v>
      </c>
      <c r="I77" s="560" t="s">
        <v>68</v>
      </c>
      <c r="J77" s="561"/>
    </row>
    <row r="78" spans="1:10">
      <c r="A78" s="1143" t="s">
        <v>73</v>
      </c>
      <c r="B78" s="1143"/>
      <c r="C78" s="1143"/>
      <c r="D78" s="1143" t="s">
        <v>1574</v>
      </c>
      <c r="E78" s="1143"/>
      <c r="F78" s="1143"/>
      <c r="G78" s="560" t="s">
        <v>1575</v>
      </c>
      <c r="H78" s="560" t="s">
        <v>1574</v>
      </c>
      <c r="I78" s="560" t="s">
        <v>72</v>
      </c>
      <c r="J78" s="561"/>
    </row>
    <row r="79" spans="1:10">
      <c r="A79" s="1143" t="s">
        <v>1387</v>
      </c>
      <c r="B79" s="1143"/>
      <c r="C79" s="1143"/>
      <c r="D79" s="1143" t="s">
        <v>593</v>
      </c>
      <c r="E79" s="1143"/>
      <c r="F79" s="1143"/>
      <c r="G79" s="560" t="s">
        <v>593</v>
      </c>
      <c r="H79" s="560" t="s">
        <v>593</v>
      </c>
      <c r="I79" s="560" t="s">
        <v>593</v>
      </c>
      <c r="J79" s="561"/>
    </row>
    <row r="80" spans="1:10">
      <c r="A80" s="1143" t="s">
        <v>1391</v>
      </c>
      <c r="B80" s="1143"/>
      <c r="C80" s="1143"/>
      <c r="D80" s="1143" t="s">
        <v>593</v>
      </c>
      <c r="E80" s="1143"/>
      <c r="F80" s="1143"/>
      <c r="G80" s="560" t="s">
        <v>593</v>
      </c>
      <c r="H80" s="560" t="s">
        <v>593</v>
      </c>
      <c r="I80" s="560" t="s">
        <v>593</v>
      </c>
      <c r="J80" s="561"/>
    </row>
    <row r="81" spans="1:10">
      <c r="A81" s="1143" t="s">
        <v>1394</v>
      </c>
      <c r="B81" s="1143"/>
      <c r="C81" s="1143"/>
      <c r="D81" s="1143" t="s">
        <v>593</v>
      </c>
      <c r="E81" s="1143"/>
      <c r="F81" s="1143"/>
      <c r="G81" s="560" t="s">
        <v>593</v>
      </c>
      <c r="H81" s="560" t="s">
        <v>593</v>
      </c>
      <c r="I81" s="560" t="s">
        <v>593</v>
      </c>
      <c r="J81" s="561"/>
    </row>
    <row r="82" spans="1:10">
      <c r="A82" s="1143" t="s">
        <v>1398</v>
      </c>
      <c r="B82" s="1143"/>
      <c r="C82" s="1143"/>
      <c r="D82" s="1143" t="s">
        <v>593</v>
      </c>
      <c r="E82" s="1143"/>
      <c r="F82" s="1143"/>
      <c r="G82" s="560" t="s">
        <v>593</v>
      </c>
      <c r="H82" s="560" t="s">
        <v>593</v>
      </c>
      <c r="I82" s="560" t="s">
        <v>593</v>
      </c>
      <c r="J82" s="561"/>
    </row>
    <row r="83" spans="1:10">
      <c r="A83" s="1143" t="s">
        <v>1401</v>
      </c>
      <c r="B83" s="1143"/>
      <c r="C83" s="1143"/>
      <c r="D83" s="1143" t="s">
        <v>593</v>
      </c>
      <c r="E83" s="1143"/>
      <c r="F83" s="1143"/>
      <c r="G83" s="560" t="s">
        <v>593</v>
      </c>
      <c r="H83" s="560" t="s">
        <v>593</v>
      </c>
      <c r="I83" s="560" t="s">
        <v>593</v>
      </c>
      <c r="J83" s="561"/>
    </row>
    <row r="84" spans="1:10">
      <c r="A84" s="1143" t="s">
        <v>1402</v>
      </c>
      <c r="B84" s="1143"/>
      <c r="C84" s="1143"/>
      <c r="D84" s="1143" t="s">
        <v>593</v>
      </c>
      <c r="E84" s="1143"/>
      <c r="F84" s="1143"/>
      <c r="G84" s="560" t="s">
        <v>593</v>
      </c>
      <c r="H84" s="560" t="s">
        <v>593</v>
      </c>
      <c r="I84" s="560" t="s">
        <v>593</v>
      </c>
      <c r="J84" s="561"/>
    </row>
    <row r="85" spans="1:10">
      <c r="A85" s="1143" t="s">
        <v>1403</v>
      </c>
      <c r="B85" s="1143"/>
      <c r="C85" s="1143"/>
      <c r="D85" s="1143" t="s">
        <v>593</v>
      </c>
      <c r="E85" s="1143"/>
      <c r="F85" s="1143"/>
      <c r="G85" s="560" t="s">
        <v>593</v>
      </c>
      <c r="H85" s="560" t="s">
        <v>593</v>
      </c>
      <c r="I85" s="560" t="s">
        <v>593</v>
      </c>
      <c r="J85" s="561"/>
    </row>
    <row r="86" spans="1:10">
      <c r="A86" s="1143" t="s">
        <v>1404</v>
      </c>
      <c r="B86" s="1143"/>
      <c r="C86" s="1143"/>
      <c r="D86" s="1143" t="s">
        <v>593</v>
      </c>
      <c r="E86" s="1143"/>
      <c r="F86" s="1143"/>
      <c r="G86" s="560" t="s">
        <v>593</v>
      </c>
      <c r="H86" s="560" t="s">
        <v>593</v>
      </c>
      <c r="I86" s="560" t="s">
        <v>593</v>
      </c>
      <c r="J86" s="561"/>
    </row>
    <row r="87" spans="1:10">
      <c r="A87" s="1143" t="s">
        <v>1406</v>
      </c>
      <c r="B87" s="1143"/>
      <c r="C87" s="1143"/>
      <c r="D87" s="1143" t="s">
        <v>593</v>
      </c>
      <c r="E87" s="1143"/>
      <c r="F87" s="1143"/>
      <c r="G87" s="560" t="s">
        <v>593</v>
      </c>
      <c r="H87" s="560" t="s">
        <v>593</v>
      </c>
      <c r="I87" s="560" t="s">
        <v>593</v>
      </c>
      <c r="J87" s="561"/>
    </row>
    <row r="88" spans="1:10">
      <c r="A88" s="1143" t="s">
        <v>324</v>
      </c>
      <c r="B88" s="1143"/>
      <c r="C88" s="1143"/>
      <c r="D88" s="1143" t="s">
        <v>68</v>
      </c>
      <c r="E88" s="1143"/>
      <c r="F88" s="1143"/>
      <c r="G88" s="560" t="s">
        <v>68</v>
      </c>
      <c r="H88" s="560" t="s">
        <v>68</v>
      </c>
      <c r="I88" s="560" t="s">
        <v>68</v>
      </c>
      <c r="J88" s="561"/>
    </row>
    <row r="89" spans="1:10">
      <c r="A89" s="1143" t="s">
        <v>73</v>
      </c>
      <c r="B89" s="1143"/>
      <c r="C89" s="1143"/>
      <c r="D89" s="1143" t="s">
        <v>1574</v>
      </c>
      <c r="E89" s="1143"/>
      <c r="F89" s="1143"/>
      <c r="G89" s="560" t="s">
        <v>1575</v>
      </c>
      <c r="H89" s="560" t="s">
        <v>1574</v>
      </c>
      <c r="I89" s="560" t="s">
        <v>72</v>
      </c>
      <c r="J89" s="561"/>
    </row>
    <row r="90" spans="1:10">
      <c r="A90" s="1143" t="s">
        <v>1407</v>
      </c>
      <c r="B90" s="1143"/>
      <c r="C90" s="1143"/>
      <c r="D90" s="1143" t="s">
        <v>1668</v>
      </c>
      <c r="E90" s="1143"/>
      <c r="F90" s="1143"/>
      <c r="G90" s="560" t="s">
        <v>486</v>
      </c>
      <c r="H90" s="560" t="s">
        <v>341</v>
      </c>
      <c r="I90" s="560" t="s">
        <v>498</v>
      </c>
      <c r="J90" s="561"/>
    </row>
    <row r="91" spans="1:10">
      <c r="A91" s="1143" t="s">
        <v>1409</v>
      </c>
      <c r="B91" s="1143"/>
      <c r="C91" s="1143"/>
      <c r="D91" s="1143" t="s">
        <v>1669</v>
      </c>
      <c r="E91" s="1143"/>
      <c r="F91" s="1143"/>
      <c r="G91" s="560" t="s">
        <v>1475</v>
      </c>
      <c r="H91" s="560" t="s">
        <v>396</v>
      </c>
      <c r="I91" s="560" t="s">
        <v>303</v>
      </c>
      <c r="J91" s="561"/>
    </row>
    <row r="92" spans="1:10">
      <c r="A92" s="1143" t="s">
        <v>1410</v>
      </c>
      <c r="B92" s="1143"/>
      <c r="C92" s="1143"/>
      <c r="D92" s="1143" t="s">
        <v>1670</v>
      </c>
      <c r="E92" s="1143"/>
      <c r="F92" s="1143"/>
      <c r="G92" s="560" t="s">
        <v>1671</v>
      </c>
      <c r="H92" s="560" t="s">
        <v>543</v>
      </c>
      <c r="I92" s="560" t="s">
        <v>196</v>
      </c>
      <c r="J92" s="561"/>
    </row>
    <row r="93" spans="1:10">
      <c r="A93" s="1143" t="s">
        <v>333</v>
      </c>
      <c r="B93" s="1143"/>
      <c r="C93" s="1143"/>
      <c r="D93" s="1143" t="s">
        <v>68</v>
      </c>
      <c r="E93" s="1143"/>
      <c r="F93" s="1143"/>
      <c r="G93" s="560" t="s">
        <v>68</v>
      </c>
      <c r="H93" s="560" t="s">
        <v>68</v>
      </c>
      <c r="I93" s="560" t="s">
        <v>68</v>
      </c>
      <c r="J93" s="561"/>
    </row>
    <row r="94" spans="1:10">
      <c r="A94" s="1143" t="s">
        <v>73</v>
      </c>
      <c r="B94" s="1143"/>
      <c r="C94" s="1143"/>
      <c r="D94" s="1143" t="s">
        <v>1574</v>
      </c>
      <c r="E94" s="1143"/>
      <c r="F94" s="1143"/>
      <c r="G94" s="560" t="s">
        <v>1575</v>
      </c>
      <c r="H94" s="560" t="s">
        <v>1574</v>
      </c>
      <c r="I94" s="560" t="s">
        <v>72</v>
      </c>
      <c r="J94" s="561"/>
    </row>
    <row r="95" spans="1:10">
      <c r="A95" s="1143" t="s">
        <v>1413</v>
      </c>
      <c r="B95" s="1143"/>
      <c r="C95" s="1143"/>
      <c r="D95" s="1143" t="s">
        <v>1672</v>
      </c>
      <c r="E95" s="1143"/>
      <c r="F95" s="1143"/>
      <c r="G95" s="560" t="s">
        <v>1673</v>
      </c>
      <c r="H95" s="560" t="s">
        <v>1674</v>
      </c>
      <c r="I95" s="560" t="s">
        <v>270</v>
      </c>
      <c r="J95" s="561"/>
    </row>
    <row r="96" spans="1:10">
      <c r="A96" s="1143" t="s">
        <v>1417</v>
      </c>
      <c r="B96" s="1143"/>
      <c r="C96" s="1143"/>
      <c r="D96" s="1143" t="s">
        <v>1675</v>
      </c>
      <c r="E96" s="1143"/>
      <c r="F96" s="1143"/>
      <c r="G96" s="560" t="s">
        <v>1676</v>
      </c>
      <c r="H96" s="560" t="s">
        <v>396</v>
      </c>
      <c r="I96" s="560" t="s">
        <v>303</v>
      </c>
      <c r="J96" s="561"/>
    </row>
    <row r="97" spans="1:10">
      <c r="A97" s="1143" t="s">
        <v>1420</v>
      </c>
      <c r="B97" s="1143"/>
      <c r="C97" s="1143"/>
      <c r="D97" s="1143" t="s">
        <v>352</v>
      </c>
      <c r="E97" s="1143"/>
      <c r="F97" s="1143"/>
      <c r="G97" s="560" t="s">
        <v>1519</v>
      </c>
      <c r="H97" s="560" t="s">
        <v>1124</v>
      </c>
      <c r="I97" s="560" t="s">
        <v>498</v>
      </c>
      <c r="J97" s="561"/>
    </row>
    <row r="98" spans="1:10">
      <c r="A98" s="1143" t="s">
        <v>345</v>
      </c>
      <c r="B98" s="1143"/>
      <c r="C98" s="1143"/>
      <c r="D98" s="1143" t="s">
        <v>68</v>
      </c>
      <c r="E98" s="1143"/>
      <c r="F98" s="1143"/>
      <c r="G98" s="560" t="s">
        <v>68</v>
      </c>
      <c r="H98" s="560" t="s">
        <v>68</v>
      </c>
      <c r="I98" s="560" t="s">
        <v>68</v>
      </c>
      <c r="J98" s="561"/>
    </row>
    <row r="99" spans="1:10">
      <c r="A99" s="1143" t="s">
        <v>1422</v>
      </c>
      <c r="B99" s="1143"/>
      <c r="C99" s="1143"/>
      <c r="D99" s="1143" t="s">
        <v>1642</v>
      </c>
      <c r="E99" s="1143"/>
      <c r="F99" s="1143"/>
      <c r="G99" s="560" t="s">
        <v>1222</v>
      </c>
      <c r="H99" s="560" t="s">
        <v>1642</v>
      </c>
      <c r="I99" s="560" t="s">
        <v>72</v>
      </c>
      <c r="J99" s="561"/>
    </row>
    <row r="100" spans="1:10">
      <c r="A100" s="1143" t="s">
        <v>1423</v>
      </c>
      <c r="B100" s="1143"/>
      <c r="C100" s="1143"/>
      <c r="D100" s="1143" t="s">
        <v>1677</v>
      </c>
      <c r="E100" s="1143"/>
      <c r="F100" s="1143"/>
      <c r="G100" s="560" t="s">
        <v>1472</v>
      </c>
      <c r="H100" s="560" t="s">
        <v>1678</v>
      </c>
      <c r="I100" s="560" t="s">
        <v>284</v>
      </c>
      <c r="J100" s="561"/>
    </row>
    <row r="101" spans="1:10">
      <c r="A101" s="1143" t="s">
        <v>1425</v>
      </c>
      <c r="B101" s="1143"/>
      <c r="C101" s="1143"/>
      <c r="D101" s="1143" t="s">
        <v>1679</v>
      </c>
      <c r="E101" s="1143"/>
      <c r="F101" s="1143"/>
      <c r="G101" s="560" t="s">
        <v>1680</v>
      </c>
      <c r="H101" s="560" t="s">
        <v>1535</v>
      </c>
      <c r="I101" s="560" t="s">
        <v>105</v>
      </c>
      <c r="J101" s="561"/>
    </row>
    <row r="102" spans="1:10">
      <c r="A102" s="1143" t="s">
        <v>1428</v>
      </c>
      <c r="B102" s="1143"/>
      <c r="C102" s="1143"/>
      <c r="D102" s="1143" t="s">
        <v>1018</v>
      </c>
      <c r="E102" s="1143"/>
      <c r="F102" s="1143"/>
      <c r="G102" s="560" t="s">
        <v>1681</v>
      </c>
      <c r="H102" s="560" t="s">
        <v>1658</v>
      </c>
      <c r="I102" s="560" t="s">
        <v>221</v>
      </c>
      <c r="J102" s="561"/>
    </row>
    <row r="103" spans="1:10">
      <c r="A103" s="1143" t="s">
        <v>1431</v>
      </c>
      <c r="B103" s="1143"/>
      <c r="C103" s="1143"/>
      <c r="D103" s="1143" t="s">
        <v>1682</v>
      </c>
      <c r="E103" s="1143"/>
      <c r="F103" s="1143"/>
      <c r="G103" s="560" t="s">
        <v>1683</v>
      </c>
      <c r="H103" s="560" t="s">
        <v>1684</v>
      </c>
      <c r="I103" s="560" t="s">
        <v>466</v>
      </c>
      <c r="J103" s="561"/>
    </row>
    <row r="104" spans="1:10">
      <c r="A104" s="1143" t="s">
        <v>1434</v>
      </c>
      <c r="B104" s="1143"/>
      <c r="C104" s="1143"/>
      <c r="D104" s="1143" t="s">
        <v>1685</v>
      </c>
      <c r="E104" s="1143"/>
      <c r="F104" s="1143"/>
      <c r="G104" s="560" t="s">
        <v>1686</v>
      </c>
      <c r="H104" s="560" t="s">
        <v>1687</v>
      </c>
      <c r="I104" s="560" t="s">
        <v>1688</v>
      </c>
      <c r="J104" s="561"/>
    </row>
    <row r="105" spans="1:10">
      <c r="A105" s="1143" t="s">
        <v>1437</v>
      </c>
      <c r="B105" s="1143"/>
      <c r="C105" s="1143"/>
      <c r="D105" s="1143" t="s">
        <v>1689</v>
      </c>
      <c r="E105" s="1143"/>
      <c r="F105" s="1143"/>
      <c r="G105" s="560" t="s">
        <v>1690</v>
      </c>
      <c r="H105" s="560" t="s">
        <v>1691</v>
      </c>
      <c r="I105" s="560" t="s">
        <v>1212</v>
      </c>
      <c r="J105" s="561"/>
    </row>
    <row r="106" spans="1:10">
      <c r="A106" s="1143" t="s">
        <v>1439</v>
      </c>
      <c r="B106" s="1143"/>
      <c r="C106" s="1143"/>
      <c r="D106" s="1143" t="s">
        <v>1158</v>
      </c>
      <c r="E106" s="1143"/>
      <c r="F106" s="1143"/>
      <c r="G106" s="560" t="s">
        <v>361</v>
      </c>
      <c r="H106" s="560" t="s">
        <v>1093</v>
      </c>
      <c r="I106" s="560" t="s">
        <v>226</v>
      </c>
      <c r="J106" s="561"/>
    </row>
    <row r="107" spans="1:10">
      <c r="A107" s="1143" t="s">
        <v>1441</v>
      </c>
      <c r="B107" s="1143"/>
      <c r="C107" s="1143"/>
      <c r="D107" s="1143" t="s">
        <v>45</v>
      </c>
      <c r="E107" s="1143"/>
      <c r="F107" s="1143"/>
      <c r="G107" s="560" t="s">
        <v>233</v>
      </c>
      <c r="H107" s="560" t="s">
        <v>318</v>
      </c>
      <c r="I107" s="560" t="s">
        <v>105</v>
      </c>
      <c r="J107" s="561"/>
    </row>
    <row r="108" spans="1:10">
      <c r="A108" s="1143" t="s">
        <v>1442</v>
      </c>
      <c r="B108" s="1143"/>
      <c r="C108" s="1143"/>
      <c r="D108" s="1143" t="s">
        <v>1148</v>
      </c>
      <c r="E108" s="1143"/>
      <c r="F108" s="1143"/>
      <c r="G108" s="560" t="s">
        <v>1692</v>
      </c>
      <c r="H108" s="560" t="s">
        <v>72</v>
      </c>
      <c r="I108" s="560" t="s">
        <v>72</v>
      </c>
      <c r="J108" s="561"/>
    </row>
    <row r="109" spans="1:10">
      <c r="A109" s="1143" t="s">
        <v>381</v>
      </c>
      <c r="B109" s="1143"/>
      <c r="C109" s="1143"/>
      <c r="D109" s="1143" t="s">
        <v>68</v>
      </c>
      <c r="E109" s="1143"/>
      <c r="F109" s="1143"/>
      <c r="G109" s="560" t="s">
        <v>68</v>
      </c>
      <c r="H109" s="560" t="s">
        <v>68</v>
      </c>
      <c r="I109" s="560" t="s">
        <v>68</v>
      </c>
      <c r="J109" s="561"/>
    </row>
    <row r="110" spans="1:10">
      <c r="A110" s="1143" t="s">
        <v>1422</v>
      </c>
      <c r="B110" s="1143"/>
      <c r="C110" s="1143"/>
      <c r="D110" s="1143" t="s">
        <v>1642</v>
      </c>
      <c r="E110" s="1143"/>
      <c r="F110" s="1143"/>
      <c r="G110" s="560" t="s">
        <v>1222</v>
      </c>
      <c r="H110" s="560" t="s">
        <v>1642</v>
      </c>
      <c r="I110" s="560" t="s">
        <v>72</v>
      </c>
      <c r="J110" s="561"/>
    </row>
    <row r="111" spans="1:10">
      <c r="A111" s="1143" t="s">
        <v>391</v>
      </c>
      <c r="B111" s="1143"/>
      <c r="C111" s="1143"/>
      <c r="D111" s="1143" t="s">
        <v>1693</v>
      </c>
      <c r="E111" s="1143"/>
      <c r="F111" s="1143"/>
      <c r="G111" s="560" t="s">
        <v>1694</v>
      </c>
      <c r="H111" s="560" t="s">
        <v>1695</v>
      </c>
      <c r="I111" s="560" t="s">
        <v>386</v>
      </c>
      <c r="J111" s="561"/>
    </row>
    <row r="112" spans="1:10">
      <c r="A112" s="1143" t="s">
        <v>421</v>
      </c>
      <c r="B112" s="1143"/>
      <c r="C112" s="1143"/>
      <c r="D112" s="1143" t="s">
        <v>1696</v>
      </c>
      <c r="E112" s="1143"/>
      <c r="F112" s="1143"/>
      <c r="G112" s="560" t="s">
        <v>1697</v>
      </c>
      <c r="H112" s="560" t="s">
        <v>1594</v>
      </c>
      <c r="I112" s="560" t="s">
        <v>386</v>
      </c>
      <c r="J112" s="561"/>
    </row>
    <row r="113" spans="1:10">
      <c r="A113" s="1143" t="s">
        <v>390</v>
      </c>
      <c r="B113" s="1143"/>
      <c r="C113" s="1143"/>
      <c r="D113" s="1143" t="s">
        <v>68</v>
      </c>
      <c r="E113" s="1143"/>
      <c r="F113" s="1143"/>
      <c r="G113" s="560" t="s">
        <v>68</v>
      </c>
      <c r="H113" s="560" t="s">
        <v>68</v>
      </c>
      <c r="I113" s="560" t="s">
        <v>68</v>
      </c>
      <c r="J113" s="561"/>
    </row>
    <row r="114" spans="1:10">
      <c r="A114" s="1143" t="s">
        <v>382</v>
      </c>
      <c r="B114" s="1143"/>
      <c r="C114" s="1143"/>
      <c r="D114" s="1143" t="s">
        <v>1693</v>
      </c>
      <c r="E114" s="1143"/>
      <c r="F114" s="1143"/>
      <c r="G114" s="560" t="s">
        <v>1694</v>
      </c>
      <c r="H114" s="560" t="s">
        <v>1693</v>
      </c>
      <c r="I114" s="560" t="s">
        <v>72</v>
      </c>
      <c r="J114" s="561"/>
    </row>
    <row r="115" spans="1:10">
      <c r="A115" s="1143" t="s">
        <v>1451</v>
      </c>
      <c r="B115" s="1143"/>
      <c r="C115" s="1143"/>
      <c r="D115" s="1143" t="s">
        <v>45</v>
      </c>
      <c r="E115" s="1143"/>
      <c r="F115" s="1143"/>
      <c r="G115" s="560" t="s">
        <v>233</v>
      </c>
      <c r="H115" s="560" t="s">
        <v>318</v>
      </c>
      <c r="I115" s="560" t="s">
        <v>109</v>
      </c>
      <c r="J115" s="561"/>
    </row>
    <row r="116" spans="1:10">
      <c r="A116" s="1143" t="s">
        <v>1454</v>
      </c>
      <c r="B116" s="1143"/>
      <c r="C116" s="1143"/>
      <c r="D116" s="1143" t="s">
        <v>1698</v>
      </c>
      <c r="E116" s="1143"/>
      <c r="F116" s="1143"/>
      <c r="G116" s="560" t="s">
        <v>1699</v>
      </c>
      <c r="H116" s="560" t="s">
        <v>121</v>
      </c>
      <c r="I116" s="560" t="s">
        <v>196</v>
      </c>
      <c r="J116" s="561"/>
    </row>
    <row r="117" spans="1:10">
      <c r="A117" s="1143" t="s">
        <v>1455</v>
      </c>
      <c r="B117" s="1143"/>
      <c r="C117" s="1143"/>
      <c r="D117" s="1143" t="s">
        <v>1700</v>
      </c>
      <c r="E117" s="1143"/>
      <c r="F117" s="1143"/>
      <c r="G117" s="560" t="s">
        <v>1289</v>
      </c>
      <c r="H117" s="560" t="s">
        <v>1701</v>
      </c>
      <c r="I117" s="560" t="s">
        <v>1460</v>
      </c>
      <c r="J117" s="561"/>
    </row>
    <row r="118" spans="1:10">
      <c r="A118" s="1143" t="s">
        <v>1458</v>
      </c>
      <c r="B118" s="1143"/>
      <c r="C118" s="1143"/>
      <c r="D118" s="1143" t="s">
        <v>1702</v>
      </c>
      <c r="E118" s="1143"/>
      <c r="F118" s="1143"/>
      <c r="G118" s="560" t="s">
        <v>1614</v>
      </c>
      <c r="H118" s="560" t="s">
        <v>1295</v>
      </c>
      <c r="I118" s="560" t="s">
        <v>1212</v>
      </c>
      <c r="J118" s="561"/>
    </row>
    <row r="119" spans="1:10">
      <c r="A119" s="1143" t="s">
        <v>1461</v>
      </c>
      <c r="B119" s="1143"/>
      <c r="C119" s="1143"/>
      <c r="D119" s="1143" t="s">
        <v>1703</v>
      </c>
      <c r="E119" s="1143"/>
      <c r="F119" s="1143"/>
      <c r="G119" s="560" t="s">
        <v>1704</v>
      </c>
      <c r="H119" s="560" t="s">
        <v>1705</v>
      </c>
      <c r="I119" s="560" t="s">
        <v>1706</v>
      </c>
      <c r="J119" s="561"/>
    </row>
    <row r="120" spans="1:10">
      <c r="A120" s="1143" t="s">
        <v>1466</v>
      </c>
      <c r="B120" s="1143"/>
      <c r="C120" s="1143"/>
      <c r="D120" s="1143" t="s">
        <v>1707</v>
      </c>
      <c r="E120" s="1143"/>
      <c r="F120" s="1143"/>
      <c r="G120" s="560" t="s">
        <v>1614</v>
      </c>
      <c r="H120" s="560" t="s">
        <v>516</v>
      </c>
      <c r="I120" s="560" t="s">
        <v>416</v>
      </c>
      <c r="J120" s="561"/>
    </row>
    <row r="121" spans="1:10">
      <c r="A121" s="1143" t="s">
        <v>1470</v>
      </c>
      <c r="B121" s="1143"/>
      <c r="C121" s="1143"/>
      <c r="D121" s="1143" t="s">
        <v>1708</v>
      </c>
      <c r="E121" s="1143"/>
      <c r="F121" s="1143"/>
      <c r="G121" s="560" t="s">
        <v>1709</v>
      </c>
      <c r="H121" s="560" t="s">
        <v>1710</v>
      </c>
      <c r="I121" s="560" t="s">
        <v>1490</v>
      </c>
      <c r="J121" s="561"/>
    </row>
    <row r="122" spans="1:10">
      <c r="A122" s="1143" t="s">
        <v>1442</v>
      </c>
      <c r="B122" s="1143"/>
      <c r="C122" s="1143"/>
      <c r="D122" s="1143" t="s">
        <v>1711</v>
      </c>
      <c r="E122" s="1143"/>
      <c r="F122" s="1143"/>
      <c r="G122" s="560" t="s">
        <v>1712</v>
      </c>
      <c r="H122" s="560" t="s">
        <v>72</v>
      </c>
      <c r="I122" s="560" t="s">
        <v>72</v>
      </c>
      <c r="J122" s="561"/>
    </row>
    <row r="123" spans="1:10">
      <c r="A123" s="1143" t="s">
        <v>387</v>
      </c>
      <c r="B123" s="1143"/>
      <c r="C123" s="1143"/>
      <c r="D123" s="1143" t="s">
        <v>1696</v>
      </c>
      <c r="E123" s="1143"/>
      <c r="F123" s="1143"/>
      <c r="G123" s="560" t="s">
        <v>1697</v>
      </c>
      <c r="H123" s="560" t="s">
        <v>1696</v>
      </c>
      <c r="I123" s="560" t="s">
        <v>72</v>
      </c>
      <c r="J123" s="561"/>
    </row>
    <row r="124" spans="1:10">
      <c r="A124" s="1143" t="s">
        <v>1476</v>
      </c>
      <c r="B124" s="1143"/>
      <c r="C124" s="1143"/>
      <c r="D124" s="1143" t="s">
        <v>45</v>
      </c>
      <c r="E124" s="1143"/>
      <c r="F124" s="1143"/>
      <c r="G124" s="560" t="s">
        <v>233</v>
      </c>
      <c r="H124" s="560" t="s">
        <v>318</v>
      </c>
      <c r="I124" s="560" t="s">
        <v>386</v>
      </c>
      <c r="J124" s="561"/>
    </row>
    <row r="125" spans="1:10">
      <c r="A125" s="1143" t="s">
        <v>1478</v>
      </c>
      <c r="B125" s="1143"/>
      <c r="C125" s="1143"/>
      <c r="D125" s="1143" t="s">
        <v>1713</v>
      </c>
      <c r="E125" s="1143"/>
      <c r="F125" s="1143"/>
      <c r="G125" s="560" t="s">
        <v>1714</v>
      </c>
      <c r="H125" s="560" t="s">
        <v>1218</v>
      </c>
      <c r="I125" s="560" t="s">
        <v>1187</v>
      </c>
      <c r="J125" s="561"/>
    </row>
    <row r="126" spans="1:10">
      <c r="A126" s="1143" t="s">
        <v>1482</v>
      </c>
      <c r="B126" s="1143"/>
      <c r="C126" s="1143"/>
      <c r="D126" s="1143" t="s">
        <v>1715</v>
      </c>
      <c r="E126" s="1143"/>
      <c r="F126" s="1143"/>
      <c r="G126" s="560" t="s">
        <v>1472</v>
      </c>
      <c r="H126" s="560" t="s">
        <v>1716</v>
      </c>
      <c r="I126" s="560" t="s">
        <v>1717</v>
      </c>
      <c r="J126" s="561"/>
    </row>
    <row r="127" spans="1:10">
      <c r="A127" s="1143" t="s">
        <v>1486</v>
      </c>
      <c r="B127" s="1143"/>
      <c r="C127" s="1143"/>
      <c r="D127" s="1143" t="s">
        <v>1718</v>
      </c>
      <c r="E127" s="1143"/>
      <c r="F127" s="1143"/>
      <c r="G127" s="560" t="s">
        <v>1433</v>
      </c>
      <c r="H127" s="560" t="s">
        <v>1719</v>
      </c>
      <c r="I127" s="560" t="s">
        <v>1720</v>
      </c>
      <c r="J127" s="561"/>
    </row>
    <row r="128" spans="1:10">
      <c r="A128" s="1143" t="s">
        <v>1491</v>
      </c>
      <c r="B128" s="1143"/>
      <c r="C128" s="1143"/>
      <c r="D128" s="1143" t="s">
        <v>330</v>
      </c>
      <c r="E128" s="1143"/>
      <c r="F128" s="1143"/>
      <c r="G128" s="560" t="s">
        <v>1721</v>
      </c>
      <c r="H128" s="560" t="s">
        <v>1722</v>
      </c>
      <c r="I128" s="560" t="s">
        <v>1723</v>
      </c>
      <c r="J128" s="561"/>
    </row>
    <row r="129" spans="1:10">
      <c r="A129" s="1143" t="s">
        <v>1442</v>
      </c>
      <c r="B129" s="1143"/>
      <c r="C129" s="1143"/>
      <c r="D129" s="1143" t="s">
        <v>1004</v>
      </c>
      <c r="E129" s="1143"/>
      <c r="F129" s="1143"/>
      <c r="G129" s="560" t="s">
        <v>314</v>
      </c>
      <c r="H129" s="560" t="s">
        <v>72</v>
      </c>
      <c r="I129" s="560" t="s">
        <v>72</v>
      </c>
      <c r="J129" s="561"/>
    </row>
    <row r="130" spans="1:10">
      <c r="A130" s="1143" t="s">
        <v>443</v>
      </c>
      <c r="B130" s="1143"/>
      <c r="C130" s="1143"/>
      <c r="D130" s="1143" t="s">
        <v>68</v>
      </c>
      <c r="E130" s="1143"/>
      <c r="F130" s="1143"/>
      <c r="G130" s="560" t="s">
        <v>68</v>
      </c>
      <c r="H130" s="560" t="s">
        <v>68</v>
      </c>
      <c r="I130" s="560" t="s">
        <v>68</v>
      </c>
      <c r="J130" s="561"/>
    </row>
    <row r="131" spans="1:10">
      <c r="A131" s="1143" t="s">
        <v>1495</v>
      </c>
      <c r="B131" s="1143"/>
      <c r="C131" s="1143"/>
      <c r="D131" s="1143" t="s">
        <v>1693</v>
      </c>
      <c r="E131" s="1143"/>
      <c r="F131" s="1143"/>
      <c r="G131" s="560" t="s">
        <v>1694</v>
      </c>
      <c r="H131" s="560" t="s">
        <v>1693</v>
      </c>
      <c r="I131" s="560" t="s">
        <v>72</v>
      </c>
      <c r="J131" s="561"/>
    </row>
    <row r="132" spans="1:10">
      <c r="A132" s="1143" t="s">
        <v>1497</v>
      </c>
      <c r="B132" s="1143"/>
      <c r="C132" s="1143"/>
      <c r="D132" s="1143" t="s">
        <v>1724</v>
      </c>
      <c r="E132" s="1143"/>
      <c r="F132" s="1143"/>
      <c r="G132" s="560" t="s">
        <v>1725</v>
      </c>
      <c r="H132" s="560" t="s">
        <v>1726</v>
      </c>
      <c r="I132" s="560" t="s">
        <v>1727</v>
      </c>
      <c r="J132" s="561"/>
    </row>
    <row r="133" spans="1:10">
      <c r="A133" s="1143" t="s">
        <v>1501</v>
      </c>
      <c r="B133" s="1143"/>
      <c r="C133" s="1143"/>
      <c r="D133" s="1143" t="s">
        <v>1728</v>
      </c>
      <c r="E133" s="1143"/>
      <c r="F133" s="1143"/>
      <c r="G133" s="560" t="s">
        <v>1729</v>
      </c>
      <c r="H133" s="560" t="s">
        <v>1730</v>
      </c>
      <c r="I133" s="560" t="s">
        <v>1199</v>
      </c>
      <c r="J133" s="561"/>
    </row>
    <row r="134" spans="1:10">
      <c r="A134" s="1143" t="s">
        <v>1505</v>
      </c>
      <c r="B134" s="1143"/>
      <c r="C134" s="1143"/>
      <c r="D134" s="1143" t="s">
        <v>1731</v>
      </c>
      <c r="E134" s="1143"/>
      <c r="F134" s="1143"/>
      <c r="G134" s="560" t="s">
        <v>1185</v>
      </c>
      <c r="H134" s="560" t="s">
        <v>1732</v>
      </c>
      <c r="I134" s="560" t="s">
        <v>466</v>
      </c>
      <c r="J134" s="561"/>
    </row>
    <row r="135" spans="1:10">
      <c r="A135" s="1143" t="s">
        <v>1508</v>
      </c>
      <c r="B135" s="1143"/>
      <c r="C135" s="1143"/>
      <c r="D135" s="1143" t="s">
        <v>1130</v>
      </c>
      <c r="E135" s="1143"/>
      <c r="F135" s="1143"/>
      <c r="G135" s="560" t="s">
        <v>1475</v>
      </c>
      <c r="H135" s="560" t="s">
        <v>1535</v>
      </c>
      <c r="I135" s="560" t="s">
        <v>109</v>
      </c>
      <c r="J135" s="561"/>
    </row>
    <row r="136" spans="1:10">
      <c r="A136" s="1143" t="s">
        <v>1509</v>
      </c>
      <c r="B136" s="1143"/>
      <c r="C136" s="1143"/>
      <c r="D136" s="1143" t="s">
        <v>1733</v>
      </c>
      <c r="E136" s="1143"/>
      <c r="F136" s="1143"/>
      <c r="G136" s="560" t="s">
        <v>539</v>
      </c>
      <c r="H136" s="560" t="s">
        <v>1029</v>
      </c>
      <c r="I136" s="560" t="s">
        <v>1734</v>
      </c>
      <c r="J136" s="561"/>
    </row>
    <row r="137" spans="1:10">
      <c r="A137" s="1143" t="s">
        <v>1511</v>
      </c>
      <c r="B137" s="1143"/>
      <c r="C137" s="1143"/>
      <c r="D137" s="1143" t="s">
        <v>45</v>
      </c>
      <c r="E137" s="1143"/>
      <c r="F137" s="1143"/>
      <c r="G137" s="560" t="s">
        <v>233</v>
      </c>
      <c r="H137" s="560" t="s">
        <v>72</v>
      </c>
      <c r="I137" s="560" t="s">
        <v>72</v>
      </c>
      <c r="J137" s="561"/>
    </row>
    <row r="138" spans="1:10">
      <c r="A138" s="1143" t="s">
        <v>1512</v>
      </c>
      <c r="B138" s="1143"/>
      <c r="C138" s="1143"/>
      <c r="D138" s="1143" t="s">
        <v>1696</v>
      </c>
      <c r="E138" s="1143"/>
      <c r="F138" s="1143"/>
      <c r="G138" s="560" t="s">
        <v>1697</v>
      </c>
      <c r="H138" s="560" t="s">
        <v>1696</v>
      </c>
      <c r="I138" s="560" t="s">
        <v>72</v>
      </c>
      <c r="J138" s="561"/>
    </row>
    <row r="139" spans="1:10">
      <c r="A139" s="1143" t="s">
        <v>1513</v>
      </c>
      <c r="B139" s="1143"/>
      <c r="C139" s="1143"/>
      <c r="D139" s="1143" t="s">
        <v>1735</v>
      </c>
      <c r="E139" s="1143"/>
      <c r="F139" s="1143"/>
      <c r="G139" s="560" t="s">
        <v>1144</v>
      </c>
      <c r="H139" s="560" t="s">
        <v>1736</v>
      </c>
      <c r="I139" s="560" t="s">
        <v>1737</v>
      </c>
      <c r="J139" s="561"/>
    </row>
    <row r="140" spans="1:10">
      <c r="A140" s="1143" t="s">
        <v>1517</v>
      </c>
      <c r="B140" s="1143"/>
      <c r="C140" s="1143"/>
      <c r="D140" s="1143" t="s">
        <v>1738</v>
      </c>
      <c r="E140" s="1143"/>
      <c r="F140" s="1143"/>
      <c r="G140" s="560" t="s">
        <v>1739</v>
      </c>
      <c r="H140" s="560" t="s">
        <v>1457</v>
      </c>
      <c r="I140" s="560" t="s">
        <v>1163</v>
      </c>
      <c r="J140" s="561"/>
    </row>
    <row r="141" spans="1:10">
      <c r="A141" s="1143" t="s">
        <v>1520</v>
      </c>
      <c r="B141" s="1143"/>
      <c r="C141" s="1143"/>
      <c r="D141" s="1143" t="s">
        <v>1740</v>
      </c>
      <c r="E141" s="1143"/>
      <c r="F141" s="1143"/>
      <c r="G141" s="560" t="s">
        <v>1741</v>
      </c>
      <c r="H141" s="560" t="s">
        <v>537</v>
      </c>
      <c r="I141" s="560" t="s">
        <v>411</v>
      </c>
      <c r="J141" s="561"/>
    </row>
    <row r="142" spans="1:10">
      <c r="A142" s="1143" t="s">
        <v>1501</v>
      </c>
      <c r="B142" s="1143"/>
      <c r="C142" s="1143"/>
      <c r="D142" s="1143" t="s">
        <v>1742</v>
      </c>
      <c r="E142" s="1143"/>
      <c r="F142" s="1143"/>
      <c r="G142" s="560" t="s">
        <v>521</v>
      </c>
      <c r="H142" s="560" t="s">
        <v>1535</v>
      </c>
      <c r="I142" s="560" t="s">
        <v>221</v>
      </c>
      <c r="J142" s="561"/>
    </row>
    <row r="143" spans="1:10">
      <c r="A143" s="1143" t="s">
        <v>1505</v>
      </c>
      <c r="B143" s="1143"/>
      <c r="C143" s="1143"/>
      <c r="D143" s="1143" t="s">
        <v>1523</v>
      </c>
      <c r="E143" s="1143"/>
      <c r="F143" s="1143"/>
      <c r="G143" s="560" t="s">
        <v>1743</v>
      </c>
      <c r="H143" s="560" t="s">
        <v>1744</v>
      </c>
      <c r="I143" s="560" t="s">
        <v>150</v>
      </c>
      <c r="J143" s="561"/>
    </row>
    <row r="144" spans="1:10">
      <c r="A144" s="1143" t="s">
        <v>1508</v>
      </c>
      <c r="B144" s="1143"/>
      <c r="C144" s="1143"/>
      <c r="D144" s="1143" t="s">
        <v>1745</v>
      </c>
      <c r="E144" s="1143"/>
      <c r="F144" s="1143"/>
      <c r="G144" s="560" t="s">
        <v>1680</v>
      </c>
      <c r="H144" s="560" t="s">
        <v>166</v>
      </c>
      <c r="I144" s="560" t="s">
        <v>366</v>
      </c>
      <c r="J144" s="561"/>
    </row>
    <row r="145" spans="1:10">
      <c r="A145" s="1143" t="s">
        <v>1509</v>
      </c>
      <c r="B145" s="1143"/>
      <c r="C145" s="1143"/>
      <c r="D145" s="1143" t="s">
        <v>1746</v>
      </c>
      <c r="E145" s="1143"/>
      <c r="F145" s="1143"/>
      <c r="G145" s="560" t="s">
        <v>1400</v>
      </c>
      <c r="H145" s="560" t="s">
        <v>1035</v>
      </c>
      <c r="I145" s="560" t="s">
        <v>1747</v>
      </c>
      <c r="J145" s="561"/>
    </row>
    <row r="146" spans="1:10">
      <c r="A146" s="1143" t="s">
        <v>1511</v>
      </c>
      <c r="B146" s="1143"/>
      <c r="C146" s="1143"/>
      <c r="D146" s="1143" t="s">
        <v>45</v>
      </c>
      <c r="E146" s="1143"/>
      <c r="F146" s="1143"/>
      <c r="G146" s="560" t="s">
        <v>233</v>
      </c>
      <c r="H146" s="560" t="s">
        <v>72</v>
      </c>
      <c r="I146" s="560" t="s">
        <v>72</v>
      </c>
      <c r="J146" s="561"/>
    </row>
    <row r="147" spans="1:10">
      <c r="A147" s="1143" t="s">
        <v>493</v>
      </c>
      <c r="B147" s="1143"/>
      <c r="C147" s="1143"/>
      <c r="D147" s="1143" t="s">
        <v>68</v>
      </c>
      <c r="E147" s="1143"/>
      <c r="F147" s="1143"/>
      <c r="G147" s="560" t="s">
        <v>68</v>
      </c>
      <c r="H147" s="560" t="s">
        <v>68</v>
      </c>
      <c r="I147" s="560" t="s">
        <v>68</v>
      </c>
      <c r="J147" s="561"/>
    </row>
    <row r="148" spans="1:10">
      <c r="A148" s="1143" t="s">
        <v>1527</v>
      </c>
      <c r="B148" s="1143"/>
      <c r="C148" s="1143"/>
      <c r="D148" s="1143" t="s">
        <v>1748</v>
      </c>
      <c r="E148" s="1143"/>
      <c r="F148" s="1143"/>
      <c r="G148" s="560" t="s">
        <v>1749</v>
      </c>
      <c r="H148" s="560" t="s">
        <v>1748</v>
      </c>
      <c r="I148" s="560" t="s">
        <v>72</v>
      </c>
      <c r="J148" s="561"/>
    </row>
    <row r="149" spans="1:10">
      <c r="A149" s="1143" t="s">
        <v>1530</v>
      </c>
      <c r="B149" s="1143"/>
      <c r="C149" s="1143"/>
      <c r="D149" s="1143" t="s">
        <v>1418</v>
      </c>
      <c r="E149" s="1143"/>
      <c r="F149" s="1143"/>
      <c r="G149" s="560" t="s">
        <v>1477</v>
      </c>
      <c r="H149" s="560" t="s">
        <v>396</v>
      </c>
      <c r="I149" s="560" t="s">
        <v>84</v>
      </c>
      <c r="J149" s="561"/>
    </row>
    <row r="150" spans="1:10">
      <c r="A150" s="1143" t="s">
        <v>1482</v>
      </c>
      <c r="B150" s="1143"/>
      <c r="C150" s="1143"/>
      <c r="D150" s="1143" t="s">
        <v>1750</v>
      </c>
      <c r="E150" s="1143"/>
      <c r="F150" s="1143"/>
      <c r="G150" s="560" t="s">
        <v>1751</v>
      </c>
      <c r="H150" s="560" t="s">
        <v>1210</v>
      </c>
      <c r="I150" s="560" t="s">
        <v>109</v>
      </c>
      <c r="J150" s="561"/>
    </row>
    <row r="151" spans="1:10">
      <c r="A151" s="1143" t="s">
        <v>1454</v>
      </c>
      <c r="B151" s="1143"/>
      <c r="C151" s="1143"/>
      <c r="D151" s="1143" t="s">
        <v>1752</v>
      </c>
      <c r="E151" s="1143"/>
      <c r="F151" s="1143"/>
      <c r="G151" s="560" t="s">
        <v>1753</v>
      </c>
      <c r="H151" s="560" t="s">
        <v>1537</v>
      </c>
      <c r="I151" s="560" t="s">
        <v>376</v>
      </c>
      <c r="J151" s="561"/>
    </row>
    <row r="152" spans="1:10">
      <c r="A152" s="1143" t="s">
        <v>1538</v>
      </c>
      <c r="B152" s="1143"/>
      <c r="C152" s="1143"/>
      <c r="D152" s="1143" t="s">
        <v>1754</v>
      </c>
      <c r="E152" s="1143"/>
      <c r="F152" s="1143"/>
      <c r="G152" s="560" t="s">
        <v>1755</v>
      </c>
      <c r="H152" s="560" t="s">
        <v>1756</v>
      </c>
      <c r="I152" s="560" t="s">
        <v>1465</v>
      </c>
      <c r="J152" s="561"/>
    </row>
    <row r="153" spans="1:10">
      <c r="A153" s="1143" t="s">
        <v>1542</v>
      </c>
      <c r="B153" s="1143"/>
      <c r="C153" s="1143"/>
      <c r="D153" s="1143" t="s">
        <v>1757</v>
      </c>
      <c r="E153" s="1143"/>
      <c r="F153" s="1143"/>
      <c r="G153" s="560" t="s">
        <v>1758</v>
      </c>
      <c r="H153" s="560" t="s">
        <v>410</v>
      </c>
      <c r="I153" s="560" t="s">
        <v>1196</v>
      </c>
      <c r="J153" s="561"/>
    </row>
    <row r="154" spans="1:10">
      <c r="A154" s="1143" t="s">
        <v>1461</v>
      </c>
      <c r="B154" s="1143"/>
      <c r="C154" s="1143"/>
      <c r="D154" s="1143" t="s">
        <v>1759</v>
      </c>
      <c r="E154" s="1143"/>
      <c r="F154" s="1143"/>
      <c r="G154" s="560" t="s">
        <v>1760</v>
      </c>
      <c r="H154" s="560" t="s">
        <v>141</v>
      </c>
      <c r="I154" s="560" t="s">
        <v>1141</v>
      </c>
      <c r="J154" s="561"/>
    </row>
    <row r="155" spans="1:10">
      <c r="A155" s="1143" t="s">
        <v>1548</v>
      </c>
      <c r="B155" s="1143"/>
      <c r="C155" s="1143"/>
      <c r="D155" s="1143" t="s">
        <v>1761</v>
      </c>
      <c r="E155" s="1143"/>
      <c r="F155" s="1143"/>
      <c r="G155" s="560" t="s">
        <v>1762</v>
      </c>
      <c r="H155" s="560" t="s">
        <v>263</v>
      </c>
      <c r="I155" s="560" t="s">
        <v>1302</v>
      </c>
      <c r="J155" s="561"/>
    </row>
    <row r="156" spans="1:10">
      <c r="A156" s="1143" t="s">
        <v>1442</v>
      </c>
      <c r="B156" s="1143"/>
      <c r="C156" s="1143"/>
      <c r="D156" s="1143" t="s">
        <v>1670</v>
      </c>
      <c r="E156" s="1143"/>
      <c r="F156" s="1143"/>
      <c r="G156" s="560" t="s">
        <v>1123</v>
      </c>
      <c r="H156" s="560" t="s">
        <v>72</v>
      </c>
      <c r="I156" s="560" t="s">
        <v>72</v>
      </c>
      <c r="J156" s="561"/>
    </row>
    <row r="157" spans="1:10">
      <c r="A157" s="1143" t="s">
        <v>1550</v>
      </c>
      <c r="B157" s="1143"/>
      <c r="C157" s="1143"/>
      <c r="D157" s="1143" t="s">
        <v>1763</v>
      </c>
      <c r="E157" s="1143"/>
      <c r="F157" s="1143"/>
      <c r="G157" s="560" t="s">
        <v>1764</v>
      </c>
      <c r="H157" s="560" t="s">
        <v>72</v>
      </c>
      <c r="I157" s="560" t="s">
        <v>72</v>
      </c>
      <c r="J157" s="561"/>
    </row>
    <row r="158" spans="1:10">
      <c r="A158" s="1143" t="s">
        <v>524</v>
      </c>
      <c r="B158" s="1143"/>
      <c r="C158" s="1143"/>
      <c r="D158" s="1143" t="s">
        <v>68</v>
      </c>
      <c r="E158" s="1143"/>
      <c r="F158" s="1143"/>
      <c r="G158" s="560" t="s">
        <v>68</v>
      </c>
      <c r="H158" s="560" t="s">
        <v>68</v>
      </c>
      <c r="I158" s="560" t="s">
        <v>68</v>
      </c>
      <c r="J158" s="561"/>
    </row>
    <row r="159" spans="1:10">
      <c r="A159" s="1143" t="s">
        <v>1552</v>
      </c>
      <c r="B159" s="1143"/>
      <c r="C159" s="1143"/>
      <c r="D159" s="1143" t="s">
        <v>1765</v>
      </c>
      <c r="E159" s="1143"/>
      <c r="F159" s="1143"/>
      <c r="G159" s="560" t="s">
        <v>1766</v>
      </c>
      <c r="H159" s="560" t="s">
        <v>1765</v>
      </c>
      <c r="I159" s="560" t="s">
        <v>72</v>
      </c>
      <c r="J159" s="561"/>
    </row>
    <row r="160" spans="1:10">
      <c r="A160" s="1143" t="s">
        <v>1555</v>
      </c>
      <c r="B160" s="1143"/>
      <c r="C160" s="1143"/>
      <c r="D160" s="1143" t="s">
        <v>1767</v>
      </c>
      <c r="E160" s="1143"/>
      <c r="F160" s="1143"/>
      <c r="G160" s="560" t="s">
        <v>1768</v>
      </c>
      <c r="H160" s="560" t="s">
        <v>1769</v>
      </c>
      <c r="I160" s="560" t="s">
        <v>1202</v>
      </c>
      <c r="J160" s="561"/>
    </row>
    <row r="161" spans="1:10">
      <c r="A161" s="1143" t="s">
        <v>1520</v>
      </c>
      <c r="B161" s="1143"/>
      <c r="C161" s="1143"/>
      <c r="D161" s="1143" t="s">
        <v>1237</v>
      </c>
      <c r="E161" s="1143"/>
      <c r="F161" s="1143"/>
      <c r="G161" s="560" t="s">
        <v>258</v>
      </c>
      <c r="H161" s="560" t="s">
        <v>1138</v>
      </c>
      <c r="I161" s="560" t="s">
        <v>1302</v>
      </c>
      <c r="J161" s="561"/>
    </row>
    <row r="162" spans="1:10">
      <c r="A162" s="1143" t="s">
        <v>1501</v>
      </c>
      <c r="B162" s="1143"/>
      <c r="C162" s="1143"/>
      <c r="D162" s="1143" t="s">
        <v>1116</v>
      </c>
      <c r="E162" s="1143"/>
      <c r="F162" s="1143"/>
      <c r="G162" s="560" t="s">
        <v>1770</v>
      </c>
      <c r="H162" s="560" t="s">
        <v>1058</v>
      </c>
      <c r="I162" s="560" t="s">
        <v>406</v>
      </c>
      <c r="J162" s="561"/>
    </row>
    <row r="163" spans="1:10">
      <c r="A163" s="1143" t="s">
        <v>1505</v>
      </c>
      <c r="B163" s="1143"/>
      <c r="C163" s="1143"/>
      <c r="D163" s="1143" t="s">
        <v>502</v>
      </c>
      <c r="E163" s="1143"/>
      <c r="F163" s="1143"/>
      <c r="G163" s="560" t="s">
        <v>1771</v>
      </c>
      <c r="H163" s="560" t="s">
        <v>543</v>
      </c>
      <c r="I163" s="560" t="s">
        <v>226</v>
      </c>
      <c r="J163" s="561"/>
    </row>
    <row r="164" spans="1:10">
      <c r="A164" s="1143" t="s">
        <v>1508</v>
      </c>
      <c r="B164" s="1143"/>
      <c r="C164" s="1143"/>
      <c r="D164" s="1143" t="s">
        <v>1772</v>
      </c>
      <c r="E164" s="1143"/>
      <c r="F164" s="1143"/>
      <c r="G164" s="560" t="s">
        <v>1587</v>
      </c>
      <c r="H164" s="560" t="s">
        <v>543</v>
      </c>
      <c r="I164" s="560" t="s">
        <v>226</v>
      </c>
      <c r="J164" s="561"/>
    </row>
    <row r="165" spans="1:10">
      <c r="A165" s="1143" t="s">
        <v>1509</v>
      </c>
      <c r="B165" s="1143"/>
      <c r="C165" s="1143"/>
      <c r="D165" s="1143" t="s">
        <v>1773</v>
      </c>
      <c r="E165" s="1143"/>
      <c r="F165" s="1143"/>
      <c r="G165" s="560" t="s">
        <v>1774</v>
      </c>
      <c r="H165" s="560" t="s">
        <v>1652</v>
      </c>
      <c r="I165" s="560" t="s">
        <v>1141</v>
      </c>
      <c r="J165" s="561"/>
    </row>
    <row r="166" spans="1:10">
      <c r="A166" s="1143" t="s">
        <v>1511</v>
      </c>
      <c r="B166" s="1143"/>
      <c r="C166" s="1143"/>
      <c r="D166" s="1143" t="s">
        <v>1775</v>
      </c>
      <c r="E166" s="1143"/>
      <c r="F166" s="1143"/>
      <c r="G166" s="560" t="s">
        <v>414</v>
      </c>
      <c r="H166" s="560" t="s">
        <v>72</v>
      </c>
      <c r="I166" s="560" t="s">
        <v>72</v>
      </c>
      <c r="J166" s="561"/>
    </row>
    <row r="167" spans="1:10">
      <c r="A167" s="561" t="s">
        <v>68</v>
      </c>
      <c r="B167" s="1144" t="s">
        <v>1776</v>
      </c>
      <c r="C167" s="1144"/>
      <c r="D167" s="1144"/>
      <c r="E167" s="1144"/>
      <c r="F167" s="561"/>
      <c r="G167" s="561"/>
      <c r="H167" s="561"/>
      <c r="I167" s="561"/>
      <c r="J167" s="561"/>
    </row>
    <row r="168" spans="1:10">
      <c r="A168" s="561"/>
      <c r="B168" s="1144"/>
      <c r="C168" s="1144"/>
      <c r="D168" s="1144"/>
      <c r="E168" s="1144"/>
      <c r="F168" s="561"/>
      <c r="G168" s="561"/>
      <c r="H168" s="561"/>
      <c r="I168" s="561"/>
      <c r="J168" s="561"/>
    </row>
    <row r="169" spans="1:10">
      <c r="A169" s="561" t="s">
        <v>68</v>
      </c>
      <c r="B169" s="1144" t="s">
        <v>1777</v>
      </c>
      <c r="C169" s="1144"/>
      <c r="D169" s="1144"/>
      <c r="E169" s="1144"/>
      <c r="F169" s="561"/>
      <c r="G169" s="561"/>
      <c r="H169" s="561"/>
      <c r="I169" s="561"/>
      <c r="J169" s="561"/>
    </row>
    <row r="170" spans="1:10">
      <c r="A170" s="561"/>
      <c r="B170" s="1144"/>
      <c r="C170" s="1144"/>
      <c r="D170" s="1144"/>
      <c r="E170" s="1144"/>
      <c r="F170" s="561"/>
      <c r="G170" s="561"/>
      <c r="H170" s="561"/>
      <c r="I170" s="561"/>
      <c r="J170" s="561"/>
    </row>
    <row r="171" spans="1:10">
      <c r="A171" s="561" t="s">
        <v>68</v>
      </c>
      <c r="B171" s="1144" t="s">
        <v>1778</v>
      </c>
      <c r="C171" s="1144"/>
      <c r="D171" s="1144"/>
      <c r="E171" s="1144"/>
      <c r="F171" s="561"/>
      <c r="G171" s="561"/>
      <c r="H171" s="561"/>
      <c r="I171" s="561"/>
      <c r="J171" s="561"/>
    </row>
    <row r="172" spans="1:10">
      <c r="A172" s="561"/>
      <c r="B172" s="1144"/>
      <c r="C172" s="1144"/>
      <c r="D172" s="1144"/>
      <c r="E172" s="1144"/>
      <c r="F172" s="561"/>
      <c r="G172" s="561"/>
      <c r="H172" s="561"/>
      <c r="I172" s="561"/>
      <c r="J172" s="561"/>
    </row>
    <row r="173" spans="1:10">
      <c r="A173" s="561" t="s">
        <v>68</v>
      </c>
      <c r="B173" s="1144" t="s">
        <v>1779</v>
      </c>
      <c r="C173" s="1144"/>
      <c r="D173" s="1144"/>
      <c r="E173" s="1144"/>
      <c r="F173" s="561"/>
      <c r="G173" s="561"/>
      <c r="H173" s="561"/>
      <c r="I173" s="561"/>
      <c r="J173" s="561"/>
    </row>
    <row r="174" spans="1:10">
      <c r="A174" s="561"/>
      <c r="B174" s="1144"/>
      <c r="C174" s="1144"/>
      <c r="D174" s="1144"/>
      <c r="E174" s="1144"/>
      <c r="F174" s="561"/>
      <c r="G174" s="561"/>
      <c r="H174" s="561"/>
      <c r="I174" s="561"/>
      <c r="J174" s="561"/>
    </row>
    <row r="175" spans="1:10">
      <c r="A175" s="561" t="s">
        <v>68</v>
      </c>
      <c r="B175" s="1144" t="s">
        <v>1780</v>
      </c>
      <c r="C175" s="1144"/>
      <c r="D175" s="1144"/>
      <c r="E175" s="1144"/>
      <c r="F175" s="561"/>
      <c r="G175" s="561"/>
      <c r="H175" s="561"/>
      <c r="I175" s="561"/>
      <c r="J175" s="561"/>
    </row>
    <row r="176" spans="1:10">
      <c r="A176" s="561"/>
      <c r="B176" s="1144"/>
      <c r="C176" s="1144"/>
      <c r="D176" s="1144"/>
      <c r="E176" s="1144"/>
      <c r="F176" s="561"/>
      <c r="G176" s="561"/>
      <c r="H176" s="561"/>
      <c r="I176" s="561"/>
      <c r="J176" s="561"/>
    </row>
    <row r="177" spans="1:10">
      <c r="A177" s="561" t="s">
        <v>68</v>
      </c>
      <c r="B177" s="1144" t="s">
        <v>1781</v>
      </c>
      <c r="C177" s="1144"/>
      <c r="D177" s="1144"/>
      <c r="E177" s="1144"/>
      <c r="F177" s="561"/>
      <c r="G177" s="561"/>
      <c r="H177" s="561"/>
      <c r="I177" s="561"/>
      <c r="J177" s="561"/>
    </row>
    <row r="178" spans="1:10">
      <c r="A178" s="561"/>
      <c r="B178" s="1144"/>
      <c r="C178" s="1144"/>
      <c r="D178" s="1144"/>
      <c r="E178" s="1144"/>
      <c r="F178" s="561"/>
      <c r="G178" s="561"/>
      <c r="H178" s="561"/>
      <c r="I178" s="561"/>
      <c r="J178" s="561"/>
    </row>
    <row r="179" spans="1:10">
      <c r="A179" s="561" t="s">
        <v>68</v>
      </c>
      <c r="B179" s="1144" t="s">
        <v>1782</v>
      </c>
      <c r="C179" s="1144"/>
      <c r="D179" s="1144"/>
      <c r="E179" s="1144"/>
      <c r="F179" s="561"/>
      <c r="G179" s="561"/>
      <c r="H179" s="561"/>
      <c r="I179" s="561"/>
      <c r="J179" s="561"/>
    </row>
    <row r="180" spans="1:10">
      <c r="A180" s="561"/>
      <c r="B180" s="1144"/>
      <c r="C180" s="1144"/>
      <c r="D180" s="1144"/>
      <c r="E180" s="1144"/>
      <c r="F180" s="561"/>
      <c r="G180" s="561"/>
      <c r="H180" s="561"/>
      <c r="I180" s="561"/>
      <c r="J180" s="561"/>
    </row>
  </sheetData>
  <mergeCells count="330">
    <mergeCell ref="A3:D3"/>
    <mergeCell ref="A4:D4"/>
    <mergeCell ref="B5:E6"/>
    <mergeCell ref="A7:C7"/>
    <mergeCell ref="D7:G7"/>
    <mergeCell ref="H7:I7"/>
    <mergeCell ref="A12:C12"/>
    <mergeCell ref="D12:F12"/>
    <mergeCell ref="A13:C13"/>
    <mergeCell ref="D13:F13"/>
    <mergeCell ref="A14:C14"/>
    <mergeCell ref="D14:F14"/>
    <mergeCell ref="D8:F8"/>
    <mergeCell ref="A9:C9"/>
    <mergeCell ref="D9:F9"/>
    <mergeCell ref="A10:C10"/>
    <mergeCell ref="D10:F10"/>
    <mergeCell ref="A11:C11"/>
    <mergeCell ref="D11:F11"/>
    <mergeCell ref="A18:C18"/>
    <mergeCell ref="D18:F18"/>
    <mergeCell ref="A19:C19"/>
    <mergeCell ref="D19:F19"/>
    <mergeCell ref="A20:C20"/>
    <mergeCell ref="D20:F20"/>
    <mergeCell ref="A15:C15"/>
    <mergeCell ref="D15:F15"/>
    <mergeCell ref="A16:C16"/>
    <mergeCell ref="D16:F16"/>
    <mergeCell ref="A17:C17"/>
    <mergeCell ref="D17:F17"/>
    <mergeCell ref="A24:C24"/>
    <mergeCell ref="D24:F24"/>
    <mergeCell ref="A25:C25"/>
    <mergeCell ref="D25:F25"/>
    <mergeCell ref="A26:C26"/>
    <mergeCell ref="D26:F26"/>
    <mergeCell ref="A21:C21"/>
    <mergeCell ref="D21:F21"/>
    <mergeCell ref="A22:C22"/>
    <mergeCell ref="D22:F22"/>
    <mergeCell ref="A23:C23"/>
    <mergeCell ref="D23:F23"/>
    <mergeCell ref="A30:C30"/>
    <mergeCell ref="D30:F30"/>
    <mergeCell ref="A31:C31"/>
    <mergeCell ref="D31:F31"/>
    <mergeCell ref="A32:C32"/>
    <mergeCell ref="D32:F32"/>
    <mergeCell ref="A27:C27"/>
    <mergeCell ref="D27:F27"/>
    <mergeCell ref="A28:C28"/>
    <mergeCell ref="D28:F28"/>
    <mergeCell ref="A29:C29"/>
    <mergeCell ref="D29:F29"/>
    <mergeCell ref="A36:C36"/>
    <mergeCell ref="D36:F36"/>
    <mergeCell ref="A37:C37"/>
    <mergeCell ref="D37:F37"/>
    <mergeCell ref="A38:C38"/>
    <mergeCell ref="D38:F38"/>
    <mergeCell ref="A33:C33"/>
    <mergeCell ref="D33:F33"/>
    <mergeCell ref="A34:C34"/>
    <mergeCell ref="D34:F34"/>
    <mergeCell ref="A35:C35"/>
    <mergeCell ref="D35:F35"/>
    <mergeCell ref="A42:C42"/>
    <mergeCell ref="D42:F42"/>
    <mergeCell ref="A43:C43"/>
    <mergeCell ref="D43:F43"/>
    <mergeCell ref="A44:C44"/>
    <mergeCell ref="D44:F44"/>
    <mergeCell ref="A39:C39"/>
    <mergeCell ref="D39:F39"/>
    <mergeCell ref="A40:C40"/>
    <mergeCell ref="D40:F40"/>
    <mergeCell ref="A41:C41"/>
    <mergeCell ref="D41:F41"/>
    <mergeCell ref="A48:C48"/>
    <mergeCell ref="D48:F48"/>
    <mergeCell ref="A49:C49"/>
    <mergeCell ref="D49:F49"/>
    <mergeCell ref="A50:C50"/>
    <mergeCell ref="D50:F50"/>
    <mergeCell ref="A45:C45"/>
    <mergeCell ref="D45:F45"/>
    <mergeCell ref="A46:C46"/>
    <mergeCell ref="D46:F46"/>
    <mergeCell ref="A47:C47"/>
    <mergeCell ref="D47:F47"/>
    <mergeCell ref="A54:C54"/>
    <mergeCell ref="D54:F54"/>
    <mergeCell ref="A55:C55"/>
    <mergeCell ref="D55:F55"/>
    <mergeCell ref="A56:C56"/>
    <mergeCell ref="D56:F56"/>
    <mergeCell ref="A51:C51"/>
    <mergeCell ref="D51:F51"/>
    <mergeCell ref="A52:C52"/>
    <mergeCell ref="D52:F52"/>
    <mergeCell ref="A53:C53"/>
    <mergeCell ref="D53:F53"/>
    <mergeCell ref="A60:C60"/>
    <mergeCell ref="D60:F60"/>
    <mergeCell ref="A61:C61"/>
    <mergeCell ref="D61:F61"/>
    <mergeCell ref="A62:C62"/>
    <mergeCell ref="D62:F62"/>
    <mergeCell ref="A57:C57"/>
    <mergeCell ref="D57:F57"/>
    <mergeCell ref="A58:C58"/>
    <mergeCell ref="D58:F58"/>
    <mergeCell ref="A59:C59"/>
    <mergeCell ref="D59:F59"/>
    <mergeCell ref="A66:C66"/>
    <mergeCell ref="D66:F66"/>
    <mergeCell ref="A67:C67"/>
    <mergeCell ref="D67:F67"/>
    <mergeCell ref="A68:C68"/>
    <mergeCell ref="D68:F68"/>
    <mergeCell ref="A63:C63"/>
    <mergeCell ref="D63:F63"/>
    <mergeCell ref="A64:C64"/>
    <mergeCell ref="D64:F64"/>
    <mergeCell ref="A65:C65"/>
    <mergeCell ref="D65:F65"/>
    <mergeCell ref="A72:C72"/>
    <mergeCell ref="D72:F72"/>
    <mergeCell ref="A73:C73"/>
    <mergeCell ref="D73:F73"/>
    <mergeCell ref="A74:C74"/>
    <mergeCell ref="D74:F74"/>
    <mergeCell ref="A69:C69"/>
    <mergeCell ref="D69:F69"/>
    <mergeCell ref="A70:C70"/>
    <mergeCell ref="D70:F70"/>
    <mergeCell ref="A71:C71"/>
    <mergeCell ref="D71:F71"/>
    <mergeCell ref="A78:C78"/>
    <mergeCell ref="D78:F78"/>
    <mergeCell ref="A79:C79"/>
    <mergeCell ref="D79:F79"/>
    <mergeCell ref="A80:C80"/>
    <mergeCell ref="D80:F80"/>
    <mergeCell ref="A75:C75"/>
    <mergeCell ref="D75:F75"/>
    <mergeCell ref="A76:C76"/>
    <mergeCell ref="D76:F76"/>
    <mergeCell ref="A77:C77"/>
    <mergeCell ref="D77:F77"/>
    <mergeCell ref="A84:C84"/>
    <mergeCell ref="D84:F84"/>
    <mergeCell ref="A85:C85"/>
    <mergeCell ref="D85:F85"/>
    <mergeCell ref="A86:C86"/>
    <mergeCell ref="D86:F86"/>
    <mergeCell ref="A81:C81"/>
    <mergeCell ref="D81:F81"/>
    <mergeCell ref="A82:C82"/>
    <mergeCell ref="D82:F82"/>
    <mergeCell ref="A83:C83"/>
    <mergeCell ref="D83:F83"/>
    <mergeCell ref="A90:C90"/>
    <mergeCell ref="D90:F90"/>
    <mergeCell ref="A91:C91"/>
    <mergeCell ref="D91:F91"/>
    <mergeCell ref="A92:C92"/>
    <mergeCell ref="D92:F92"/>
    <mergeCell ref="A87:C87"/>
    <mergeCell ref="D87:F87"/>
    <mergeCell ref="A88:C88"/>
    <mergeCell ref="D88:F88"/>
    <mergeCell ref="A89:C89"/>
    <mergeCell ref="D89:F89"/>
    <mergeCell ref="A96:C96"/>
    <mergeCell ref="D96:F96"/>
    <mergeCell ref="A97:C97"/>
    <mergeCell ref="D97:F97"/>
    <mergeCell ref="A98:C98"/>
    <mergeCell ref="D98:F98"/>
    <mergeCell ref="A93:C93"/>
    <mergeCell ref="D93:F93"/>
    <mergeCell ref="A94:C94"/>
    <mergeCell ref="D94:F94"/>
    <mergeCell ref="A95:C95"/>
    <mergeCell ref="D95:F95"/>
    <mergeCell ref="A102:C102"/>
    <mergeCell ref="D102:F102"/>
    <mergeCell ref="A103:C103"/>
    <mergeCell ref="D103:F103"/>
    <mergeCell ref="A104:C104"/>
    <mergeCell ref="D104:F104"/>
    <mergeCell ref="A99:C99"/>
    <mergeCell ref="D99:F99"/>
    <mergeCell ref="A100:C100"/>
    <mergeCell ref="D100:F100"/>
    <mergeCell ref="A101:C101"/>
    <mergeCell ref="D101:F101"/>
    <mergeCell ref="A108:C108"/>
    <mergeCell ref="D108:F108"/>
    <mergeCell ref="A109:C109"/>
    <mergeCell ref="D109:F109"/>
    <mergeCell ref="A110:C110"/>
    <mergeCell ref="D110:F110"/>
    <mergeCell ref="A105:C105"/>
    <mergeCell ref="D105:F105"/>
    <mergeCell ref="A106:C106"/>
    <mergeCell ref="D106:F106"/>
    <mergeCell ref="A107:C107"/>
    <mergeCell ref="D107:F107"/>
    <mergeCell ref="A114:C114"/>
    <mergeCell ref="D114:F114"/>
    <mergeCell ref="A115:C115"/>
    <mergeCell ref="D115:F115"/>
    <mergeCell ref="A116:C116"/>
    <mergeCell ref="D116:F116"/>
    <mergeCell ref="A111:C111"/>
    <mergeCell ref="D111:F111"/>
    <mergeCell ref="A112:C112"/>
    <mergeCell ref="D112:F112"/>
    <mergeCell ref="A113:C113"/>
    <mergeCell ref="D113:F113"/>
    <mergeCell ref="A120:C120"/>
    <mergeCell ref="D120:F120"/>
    <mergeCell ref="A121:C121"/>
    <mergeCell ref="D121:F121"/>
    <mergeCell ref="A122:C122"/>
    <mergeCell ref="D122:F122"/>
    <mergeCell ref="A117:C117"/>
    <mergeCell ref="D117:F117"/>
    <mergeCell ref="A118:C118"/>
    <mergeCell ref="D118:F118"/>
    <mergeCell ref="A119:C119"/>
    <mergeCell ref="D119:F119"/>
    <mergeCell ref="A126:C126"/>
    <mergeCell ref="D126:F126"/>
    <mergeCell ref="A127:C127"/>
    <mergeCell ref="D127:F127"/>
    <mergeCell ref="A128:C128"/>
    <mergeCell ref="D128:F128"/>
    <mergeCell ref="A123:C123"/>
    <mergeCell ref="D123:F123"/>
    <mergeCell ref="A124:C124"/>
    <mergeCell ref="D124:F124"/>
    <mergeCell ref="A125:C125"/>
    <mergeCell ref="D125:F125"/>
    <mergeCell ref="A132:C132"/>
    <mergeCell ref="D132:F132"/>
    <mergeCell ref="A133:C133"/>
    <mergeCell ref="D133:F133"/>
    <mergeCell ref="A134:C134"/>
    <mergeCell ref="D134:F134"/>
    <mergeCell ref="A129:C129"/>
    <mergeCell ref="D129:F129"/>
    <mergeCell ref="A130:C130"/>
    <mergeCell ref="D130:F130"/>
    <mergeCell ref="A131:C131"/>
    <mergeCell ref="D131:F131"/>
    <mergeCell ref="A138:C138"/>
    <mergeCell ref="D138:F138"/>
    <mergeCell ref="A139:C139"/>
    <mergeCell ref="D139:F139"/>
    <mergeCell ref="A140:C140"/>
    <mergeCell ref="D140:F140"/>
    <mergeCell ref="A135:C135"/>
    <mergeCell ref="D135:F135"/>
    <mergeCell ref="A136:C136"/>
    <mergeCell ref="D136:F136"/>
    <mergeCell ref="A137:C137"/>
    <mergeCell ref="D137:F137"/>
    <mergeCell ref="A144:C144"/>
    <mergeCell ref="D144:F144"/>
    <mergeCell ref="A145:C145"/>
    <mergeCell ref="D145:F145"/>
    <mergeCell ref="A146:C146"/>
    <mergeCell ref="D146:F146"/>
    <mergeCell ref="A141:C141"/>
    <mergeCell ref="D141:F141"/>
    <mergeCell ref="A142:C142"/>
    <mergeCell ref="D142:F142"/>
    <mergeCell ref="A143:C143"/>
    <mergeCell ref="D143:F143"/>
    <mergeCell ref="A150:C150"/>
    <mergeCell ref="D150:F150"/>
    <mergeCell ref="A151:C151"/>
    <mergeCell ref="D151:F151"/>
    <mergeCell ref="A152:C152"/>
    <mergeCell ref="D152:F152"/>
    <mergeCell ref="A147:C147"/>
    <mergeCell ref="D147:F147"/>
    <mergeCell ref="A148:C148"/>
    <mergeCell ref="D148:F148"/>
    <mergeCell ref="A149:C149"/>
    <mergeCell ref="D149:F149"/>
    <mergeCell ref="A156:C156"/>
    <mergeCell ref="D156:F156"/>
    <mergeCell ref="A157:C157"/>
    <mergeCell ref="D157:F157"/>
    <mergeCell ref="A158:C158"/>
    <mergeCell ref="D158:F158"/>
    <mergeCell ref="A153:C153"/>
    <mergeCell ref="D153:F153"/>
    <mergeCell ref="A154:C154"/>
    <mergeCell ref="D154:F154"/>
    <mergeCell ref="A155:C155"/>
    <mergeCell ref="D155:F155"/>
    <mergeCell ref="A162:C162"/>
    <mergeCell ref="D162:F162"/>
    <mergeCell ref="A163:C163"/>
    <mergeCell ref="D163:F163"/>
    <mergeCell ref="A164:C164"/>
    <mergeCell ref="D164:F164"/>
    <mergeCell ref="A159:C159"/>
    <mergeCell ref="D159:F159"/>
    <mergeCell ref="A160:C160"/>
    <mergeCell ref="D160:F160"/>
    <mergeCell ref="A161:C161"/>
    <mergeCell ref="D161:F161"/>
    <mergeCell ref="B171:E172"/>
    <mergeCell ref="B173:E174"/>
    <mergeCell ref="B175:E176"/>
    <mergeCell ref="B177:E178"/>
    <mergeCell ref="B179:E180"/>
    <mergeCell ref="A165:C165"/>
    <mergeCell ref="D165:F165"/>
    <mergeCell ref="A166:C166"/>
    <mergeCell ref="D166:F166"/>
    <mergeCell ref="B167:E168"/>
    <mergeCell ref="B169:E170"/>
  </mergeCell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J178"/>
  <sheetViews>
    <sheetView topLeftCell="A7" workbookViewId="0">
      <selection activeCell="A15" sqref="A15:I25"/>
    </sheetView>
  </sheetViews>
  <sheetFormatPr defaultRowHeight="15"/>
  <sheetData>
    <row r="1" spans="1:10" s="697" customFormat="1">
      <c r="A1" s="900" t="s">
        <v>2258</v>
      </c>
      <c r="B1" s="901"/>
      <c r="C1" s="902"/>
      <c r="D1" s="901"/>
      <c r="E1" s="902"/>
      <c r="F1" s="12"/>
      <c r="G1" s="12"/>
    </row>
    <row r="2" spans="1:10" s="697" customFormat="1"/>
    <row r="3" spans="1:10">
      <c r="A3" s="1144" t="s">
        <v>1783</v>
      </c>
      <c r="B3" s="1144"/>
      <c r="C3" s="1144"/>
      <c r="D3" s="1144"/>
      <c r="E3" s="561"/>
      <c r="F3" s="561"/>
      <c r="G3" s="561"/>
      <c r="H3" s="561"/>
      <c r="I3" s="561"/>
      <c r="J3" s="561"/>
    </row>
    <row r="4" spans="1:10">
      <c r="A4" s="1144" t="s">
        <v>1784</v>
      </c>
      <c r="B4" s="1144"/>
      <c r="C4" s="1144"/>
      <c r="D4" s="1144"/>
      <c r="E4" s="561"/>
      <c r="F4" s="561"/>
      <c r="G4" s="561"/>
      <c r="H4" s="561"/>
      <c r="I4" s="561"/>
      <c r="J4" s="561"/>
    </row>
    <row r="5" spans="1:10">
      <c r="A5" s="561" t="s">
        <v>68</v>
      </c>
      <c r="B5" s="1144" t="s">
        <v>1571</v>
      </c>
      <c r="C5" s="1144"/>
      <c r="D5" s="1144"/>
      <c r="E5" s="1144"/>
      <c r="F5" s="561"/>
      <c r="G5" s="561"/>
      <c r="H5" s="561"/>
      <c r="I5" s="561"/>
      <c r="J5" s="561"/>
    </row>
    <row r="6" spans="1:10">
      <c r="A6" s="561"/>
      <c r="B6" s="1144"/>
      <c r="C6" s="1144"/>
      <c r="D6" s="1144"/>
      <c r="E6" s="1144"/>
      <c r="F6" s="561"/>
      <c r="G6" s="561"/>
      <c r="H6" s="561"/>
      <c r="I6" s="561"/>
      <c r="J6" s="561"/>
    </row>
    <row r="7" spans="1:10">
      <c r="A7" s="1142" t="s">
        <v>1259</v>
      </c>
      <c r="B7" s="1142"/>
      <c r="C7" s="1142"/>
      <c r="D7" s="1143" t="s">
        <v>1260</v>
      </c>
      <c r="E7" s="1143"/>
      <c r="F7" s="1143"/>
      <c r="G7" s="1143"/>
      <c r="H7" s="1143" t="s">
        <v>65</v>
      </c>
      <c r="I7" s="1143"/>
      <c r="J7" s="561"/>
    </row>
    <row r="8" spans="1:10" ht="25.5">
      <c r="A8" s="13"/>
      <c r="B8" s="562"/>
      <c r="C8" s="15"/>
      <c r="D8" s="1143" t="s">
        <v>63</v>
      </c>
      <c r="E8" s="1143"/>
      <c r="F8" s="1143"/>
      <c r="G8" s="560" t="s">
        <v>64</v>
      </c>
      <c r="H8" s="560" t="s">
        <v>63</v>
      </c>
      <c r="I8" s="560" t="s">
        <v>64</v>
      </c>
      <c r="J8" s="561"/>
    </row>
    <row r="9" spans="1:10">
      <c r="A9" s="1143" t="s">
        <v>67</v>
      </c>
      <c r="B9" s="1143"/>
      <c r="C9" s="1143"/>
      <c r="D9" s="1143" t="s">
        <v>68</v>
      </c>
      <c r="E9" s="1143"/>
      <c r="F9" s="1143"/>
      <c r="G9" s="560" t="s">
        <v>68</v>
      </c>
      <c r="H9" s="560" t="s">
        <v>68</v>
      </c>
      <c r="I9" s="560" t="s">
        <v>68</v>
      </c>
      <c r="J9" s="561"/>
    </row>
    <row r="10" spans="1:10">
      <c r="A10" s="1143" t="s">
        <v>1261</v>
      </c>
      <c r="B10" s="1143"/>
      <c r="C10" s="1143"/>
      <c r="D10" s="1143" t="s">
        <v>1785</v>
      </c>
      <c r="E10" s="1143"/>
      <c r="F10" s="1143"/>
      <c r="G10" s="560" t="s">
        <v>1786</v>
      </c>
      <c r="H10" s="560" t="s">
        <v>1787</v>
      </c>
      <c r="I10" s="560" t="s">
        <v>72</v>
      </c>
      <c r="J10" s="561"/>
    </row>
    <row r="11" spans="1:10">
      <c r="A11" s="1143" t="s">
        <v>236</v>
      </c>
      <c r="B11" s="1143"/>
      <c r="C11" s="1143"/>
      <c r="D11" s="1143" t="s">
        <v>1788</v>
      </c>
      <c r="E11" s="1143"/>
      <c r="F11" s="1143"/>
      <c r="G11" s="560" t="s">
        <v>1789</v>
      </c>
      <c r="H11" s="560" t="s">
        <v>1790</v>
      </c>
      <c r="I11" s="560" t="s">
        <v>458</v>
      </c>
      <c r="J11" s="561"/>
    </row>
    <row r="12" spans="1:10">
      <c r="A12" s="1143" t="s">
        <v>1267</v>
      </c>
      <c r="B12" s="1143"/>
      <c r="C12" s="1143"/>
      <c r="D12" s="1143" t="s">
        <v>1791</v>
      </c>
      <c r="E12" s="1143"/>
      <c r="F12" s="1143"/>
      <c r="G12" s="560" t="s">
        <v>1792</v>
      </c>
      <c r="H12" s="560" t="s">
        <v>429</v>
      </c>
      <c r="I12" s="560" t="s">
        <v>458</v>
      </c>
      <c r="J12" s="561"/>
    </row>
    <row r="13" spans="1:10">
      <c r="A13" s="1143" t="s">
        <v>1270</v>
      </c>
      <c r="B13" s="1143"/>
      <c r="C13" s="1143"/>
      <c r="D13" s="1143" t="s">
        <v>1793</v>
      </c>
      <c r="E13" s="1143"/>
      <c r="F13" s="1143"/>
      <c r="G13" s="560" t="s">
        <v>196</v>
      </c>
      <c r="H13" s="560" t="s">
        <v>72</v>
      </c>
      <c r="I13" s="560" t="s">
        <v>72</v>
      </c>
      <c r="J13" s="561"/>
    </row>
    <row r="14" spans="1:10">
      <c r="A14" s="1143" t="s">
        <v>1272</v>
      </c>
      <c r="B14" s="1143"/>
      <c r="C14" s="1143"/>
      <c r="D14" s="1143" t="s">
        <v>1794</v>
      </c>
      <c r="E14" s="1143"/>
      <c r="F14" s="1143"/>
      <c r="G14" s="560" t="s">
        <v>1795</v>
      </c>
      <c r="H14" s="560" t="s">
        <v>72</v>
      </c>
      <c r="I14" s="560" t="s">
        <v>72</v>
      </c>
      <c r="J14" s="561"/>
    </row>
    <row r="15" spans="1:10">
      <c r="A15" s="1143" t="s">
        <v>88</v>
      </c>
      <c r="B15" s="1143"/>
      <c r="C15" s="1143"/>
      <c r="D15" s="1143" t="s">
        <v>68</v>
      </c>
      <c r="E15" s="1143"/>
      <c r="F15" s="1143"/>
      <c r="G15" s="560" t="s">
        <v>68</v>
      </c>
      <c r="H15" s="560" t="s">
        <v>68</v>
      </c>
      <c r="I15" s="560" t="s">
        <v>68</v>
      </c>
      <c r="J15" s="561"/>
    </row>
    <row r="16" spans="1:10">
      <c r="A16" s="1143" t="s">
        <v>1261</v>
      </c>
      <c r="B16" s="1143"/>
      <c r="C16" s="1143"/>
      <c r="D16" s="1143" t="s">
        <v>1785</v>
      </c>
      <c r="E16" s="1143"/>
      <c r="F16" s="1143"/>
      <c r="G16" s="560" t="s">
        <v>1786</v>
      </c>
      <c r="H16" s="560" t="s">
        <v>1787</v>
      </c>
      <c r="I16" s="560" t="s">
        <v>72</v>
      </c>
      <c r="J16" s="561"/>
    </row>
    <row r="17" spans="1:10">
      <c r="A17" s="1143" t="s">
        <v>89</v>
      </c>
      <c r="B17" s="1143"/>
      <c r="C17" s="1143"/>
      <c r="D17" s="1143" t="s">
        <v>1796</v>
      </c>
      <c r="E17" s="1143"/>
      <c r="F17" s="1143"/>
      <c r="G17" s="560" t="s">
        <v>1797</v>
      </c>
      <c r="H17" s="560" t="s">
        <v>1798</v>
      </c>
      <c r="I17" s="560" t="s">
        <v>284</v>
      </c>
      <c r="J17" s="561"/>
    </row>
    <row r="18" spans="1:10">
      <c r="A18" s="1143" t="s">
        <v>94</v>
      </c>
      <c r="B18" s="1143"/>
      <c r="C18" s="1143"/>
      <c r="D18" s="1143" t="s">
        <v>1799</v>
      </c>
      <c r="E18" s="1143"/>
      <c r="F18" s="1143"/>
      <c r="G18" s="560" t="s">
        <v>1800</v>
      </c>
      <c r="H18" s="560" t="s">
        <v>1159</v>
      </c>
      <c r="I18" s="560" t="s">
        <v>1302</v>
      </c>
      <c r="J18" s="561"/>
    </row>
    <row r="19" spans="1:10">
      <c r="A19" s="1143" t="s">
        <v>98</v>
      </c>
      <c r="B19" s="1143"/>
      <c r="C19" s="1143"/>
      <c r="D19" s="1143" t="s">
        <v>1801</v>
      </c>
      <c r="E19" s="1143"/>
      <c r="F19" s="1143"/>
      <c r="G19" s="560" t="s">
        <v>471</v>
      </c>
      <c r="H19" s="560" t="s">
        <v>162</v>
      </c>
      <c r="I19" s="560" t="s">
        <v>117</v>
      </c>
      <c r="J19" s="561"/>
    </row>
    <row r="20" spans="1:10">
      <c r="A20" s="1143" t="s">
        <v>102</v>
      </c>
      <c r="B20" s="1143"/>
      <c r="C20" s="1143"/>
      <c r="D20" s="1143" t="s">
        <v>529</v>
      </c>
      <c r="E20" s="1143"/>
      <c r="F20" s="1143"/>
      <c r="G20" s="560" t="s">
        <v>1802</v>
      </c>
      <c r="H20" s="560" t="s">
        <v>104</v>
      </c>
      <c r="I20" s="560" t="s">
        <v>93</v>
      </c>
      <c r="J20" s="561"/>
    </row>
    <row r="21" spans="1:10">
      <c r="A21" s="1143" t="s">
        <v>106</v>
      </c>
      <c r="B21" s="1143"/>
      <c r="C21" s="1143"/>
      <c r="D21" s="1143" t="s">
        <v>1803</v>
      </c>
      <c r="E21" s="1143"/>
      <c r="F21" s="1143"/>
      <c r="G21" s="560" t="s">
        <v>1804</v>
      </c>
      <c r="H21" s="560" t="s">
        <v>1805</v>
      </c>
      <c r="I21" s="560" t="s">
        <v>993</v>
      </c>
      <c r="J21" s="561"/>
    </row>
    <row r="22" spans="1:10">
      <c r="A22" s="1143" t="s">
        <v>110</v>
      </c>
      <c r="B22" s="1143"/>
      <c r="C22" s="1143"/>
      <c r="D22" s="1143" t="s">
        <v>1806</v>
      </c>
      <c r="E22" s="1143"/>
      <c r="F22" s="1143"/>
      <c r="G22" s="560" t="s">
        <v>1807</v>
      </c>
      <c r="H22" s="560" t="s">
        <v>1808</v>
      </c>
      <c r="I22" s="560" t="s">
        <v>401</v>
      </c>
      <c r="J22" s="561"/>
    </row>
    <row r="23" spans="1:10">
      <c r="A23" s="1143" t="s">
        <v>114</v>
      </c>
      <c r="B23" s="1143"/>
      <c r="C23" s="1143"/>
      <c r="D23" s="1143" t="s">
        <v>1702</v>
      </c>
      <c r="E23" s="1143"/>
      <c r="F23" s="1143"/>
      <c r="G23" s="560" t="s">
        <v>1126</v>
      </c>
      <c r="H23" s="560" t="s">
        <v>1021</v>
      </c>
      <c r="I23" s="560" t="s">
        <v>117</v>
      </c>
      <c r="J23" s="561"/>
    </row>
    <row r="24" spans="1:10">
      <c r="A24" s="1143" t="s">
        <v>118</v>
      </c>
      <c r="B24" s="1143"/>
      <c r="C24" s="1143"/>
      <c r="D24" s="1143" t="s">
        <v>1809</v>
      </c>
      <c r="E24" s="1143"/>
      <c r="F24" s="1143"/>
      <c r="G24" s="560" t="s">
        <v>1042</v>
      </c>
      <c r="H24" s="560" t="s">
        <v>121</v>
      </c>
      <c r="I24" s="560" t="s">
        <v>167</v>
      </c>
      <c r="J24" s="561"/>
    </row>
    <row r="25" spans="1:10">
      <c r="A25" s="1143" t="s">
        <v>123</v>
      </c>
      <c r="B25" s="1143"/>
      <c r="C25" s="1143"/>
      <c r="D25" s="1143" t="s">
        <v>1810</v>
      </c>
      <c r="E25" s="1143"/>
      <c r="F25" s="1143"/>
      <c r="G25" s="560" t="s">
        <v>1743</v>
      </c>
      <c r="H25" s="560" t="s">
        <v>1124</v>
      </c>
      <c r="I25" s="560" t="s">
        <v>319</v>
      </c>
      <c r="J25" s="561"/>
    </row>
    <row r="26" spans="1:10">
      <c r="A26" s="1143" t="s">
        <v>128</v>
      </c>
      <c r="B26" s="1143"/>
      <c r="C26" s="1143"/>
      <c r="D26" s="1143" t="s">
        <v>68</v>
      </c>
      <c r="E26" s="1143"/>
      <c r="F26" s="1143"/>
      <c r="G26" s="560" t="s">
        <v>68</v>
      </c>
      <c r="H26" s="560" t="s">
        <v>68</v>
      </c>
      <c r="I26" s="560" t="s">
        <v>68</v>
      </c>
      <c r="J26" s="561"/>
    </row>
    <row r="27" spans="1:10">
      <c r="A27" s="1143" t="s">
        <v>1261</v>
      </c>
      <c r="B27" s="1143"/>
      <c r="C27" s="1143"/>
      <c r="D27" s="1143" t="s">
        <v>1785</v>
      </c>
      <c r="E27" s="1143"/>
      <c r="F27" s="1143"/>
      <c r="G27" s="560" t="s">
        <v>1786</v>
      </c>
      <c r="H27" s="560" t="s">
        <v>1787</v>
      </c>
      <c r="I27" s="560" t="s">
        <v>72</v>
      </c>
      <c r="J27" s="561"/>
    </row>
    <row r="28" spans="1:10">
      <c r="A28" s="1143" t="s">
        <v>129</v>
      </c>
      <c r="B28" s="1143"/>
      <c r="C28" s="1143"/>
      <c r="D28" s="1143" t="s">
        <v>1677</v>
      </c>
      <c r="E28" s="1143"/>
      <c r="F28" s="1143"/>
      <c r="G28" s="560" t="s">
        <v>1503</v>
      </c>
      <c r="H28" s="560" t="s">
        <v>1744</v>
      </c>
      <c r="I28" s="560" t="s">
        <v>133</v>
      </c>
      <c r="J28" s="561"/>
    </row>
    <row r="29" spans="1:10">
      <c r="A29" s="1143" t="s">
        <v>134</v>
      </c>
      <c r="B29" s="1143"/>
      <c r="C29" s="1143"/>
      <c r="D29" s="1143" t="s">
        <v>1811</v>
      </c>
      <c r="E29" s="1143"/>
      <c r="F29" s="1143"/>
      <c r="G29" s="560" t="s">
        <v>1034</v>
      </c>
      <c r="H29" s="560" t="s">
        <v>1812</v>
      </c>
      <c r="I29" s="560" t="s">
        <v>196</v>
      </c>
      <c r="J29" s="561"/>
    </row>
    <row r="30" spans="1:10">
      <c r="A30" s="1143" t="s">
        <v>138</v>
      </c>
      <c r="B30" s="1143"/>
      <c r="C30" s="1143"/>
      <c r="D30" s="1143" t="s">
        <v>1813</v>
      </c>
      <c r="E30" s="1143"/>
      <c r="F30" s="1143"/>
      <c r="G30" s="560" t="s">
        <v>1814</v>
      </c>
      <c r="H30" s="560" t="s">
        <v>1815</v>
      </c>
      <c r="I30" s="560" t="s">
        <v>142</v>
      </c>
      <c r="J30" s="561"/>
    </row>
    <row r="31" spans="1:10">
      <c r="A31" s="1143" t="s">
        <v>143</v>
      </c>
      <c r="B31" s="1143"/>
      <c r="C31" s="1143"/>
      <c r="D31" s="1143" t="s">
        <v>1816</v>
      </c>
      <c r="E31" s="1143"/>
      <c r="F31" s="1143"/>
      <c r="G31" s="560" t="s">
        <v>1817</v>
      </c>
      <c r="H31" s="560" t="s">
        <v>1818</v>
      </c>
      <c r="I31" s="560" t="s">
        <v>1202</v>
      </c>
      <c r="J31" s="561"/>
    </row>
    <row r="32" spans="1:10">
      <c r="A32" s="1143" t="s">
        <v>147</v>
      </c>
      <c r="B32" s="1143"/>
      <c r="C32" s="1143"/>
      <c r="D32" s="1143" t="s">
        <v>1819</v>
      </c>
      <c r="E32" s="1143"/>
      <c r="F32" s="1143"/>
      <c r="G32" s="560" t="s">
        <v>1820</v>
      </c>
      <c r="H32" s="560" t="s">
        <v>1074</v>
      </c>
      <c r="I32" s="560" t="s">
        <v>401</v>
      </c>
      <c r="J32" s="561"/>
    </row>
    <row r="33" spans="1:10">
      <c r="A33" s="1143" t="s">
        <v>151</v>
      </c>
      <c r="B33" s="1143"/>
      <c r="C33" s="1143"/>
      <c r="D33" s="1143" t="s">
        <v>1821</v>
      </c>
      <c r="E33" s="1143"/>
      <c r="F33" s="1143"/>
      <c r="G33" s="560" t="s">
        <v>1822</v>
      </c>
      <c r="H33" s="560" t="s">
        <v>1823</v>
      </c>
      <c r="I33" s="560" t="s">
        <v>458</v>
      </c>
      <c r="J33" s="561"/>
    </row>
    <row r="34" spans="1:10">
      <c r="A34" s="1143" t="s">
        <v>155</v>
      </c>
      <c r="B34" s="1143"/>
      <c r="C34" s="1143"/>
      <c r="D34" s="1143" t="s">
        <v>1824</v>
      </c>
      <c r="E34" s="1143"/>
      <c r="F34" s="1143"/>
      <c r="G34" s="560" t="s">
        <v>1825</v>
      </c>
      <c r="H34" s="560" t="s">
        <v>1241</v>
      </c>
      <c r="I34" s="560" t="s">
        <v>77</v>
      </c>
      <c r="J34" s="561"/>
    </row>
    <row r="35" spans="1:10">
      <c r="A35" s="1143" t="s">
        <v>159</v>
      </c>
      <c r="B35" s="1143"/>
      <c r="C35" s="1143"/>
      <c r="D35" s="1143" t="s">
        <v>1826</v>
      </c>
      <c r="E35" s="1143"/>
      <c r="F35" s="1143"/>
      <c r="G35" s="560" t="s">
        <v>1092</v>
      </c>
      <c r="H35" s="560" t="s">
        <v>1021</v>
      </c>
      <c r="I35" s="560" t="s">
        <v>105</v>
      </c>
      <c r="J35" s="561"/>
    </row>
    <row r="36" spans="1:10">
      <c r="A36" s="1143" t="s">
        <v>163</v>
      </c>
      <c r="B36" s="1143"/>
      <c r="C36" s="1143"/>
      <c r="D36" s="1143" t="s">
        <v>1826</v>
      </c>
      <c r="E36" s="1143"/>
      <c r="F36" s="1143"/>
      <c r="G36" s="560" t="s">
        <v>1463</v>
      </c>
      <c r="H36" s="560" t="s">
        <v>1021</v>
      </c>
      <c r="I36" s="560" t="s">
        <v>167</v>
      </c>
      <c r="J36" s="561"/>
    </row>
    <row r="37" spans="1:10">
      <c r="A37" s="1143" t="s">
        <v>168</v>
      </c>
      <c r="B37" s="1143"/>
      <c r="C37" s="1143"/>
      <c r="D37" s="1143" t="s">
        <v>68</v>
      </c>
      <c r="E37" s="1143"/>
      <c r="F37" s="1143"/>
      <c r="G37" s="560" t="s">
        <v>68</v>
      </c>
      <c r="H37" s="560" t="s">
        <v>68</v>
      </c>
      <c r="I37" s="560" t="s">
        <v>68</v>
      </c>
      <c r="J37" s="561"/>
    </row>
    <row r="38" spans="1:10">
      <c r="A38" s="1143" t="s">
        <v>1261</v>
      </c>
      <c r="B38" s="1143"/>
      <c r="C38" s="1143"/>
      <c r="D38" s="1143" t="s">
        <v>1785</v>
      </c>
      <c r="E38" s="1143"/>
      <c r="F38" s="1143"/>
      <c r="G38" s="560" t="s">
        <v>1786</v>
      </c>
      <c r="H38" s="560" t="s">
        <v>1787</v>
      </c>
      <c r="I38" s="560" t="s">
        <v>72</v>
      </c>
      <c r="J38" s="561"/>
    </row>
    <row r="39" spans="1:10">
      <c r="A39" s="1143" t="s">
        <v>169</v>
      </c>
      <c r="B39" s="1143"/>
      <c r="C39" s="1143"/>
      <c r="D39" s="1143" t="s">
        <v>1827</v>
      </c>
      <c r="E39" s="1143"/>
      <c r="F39" s="1143"/>
      <c r="G39" s="560" t="s">
        <v>1096</v>
      </c>
      <c r="H39" s="560" t="s">
        <v>1136</v>
      </c>
      <c r="I39" s="560" t="s">
        <v>275</v>
      </c>
      <c r="J39" s="561"/>
    </row>
    <row r="40" spans="1:10">
      <c r="A40" s="1143" t="s">
        <v>173</v>
      </c>
      <c r="B40" s="1143"/>
      <c r="C40" s="1143"/>
      <c r="D40" s="1143" t="s">
        <v>1828</v>
      </c>
      <c r="E40" s="1143"/>
      <c r="F40" s="1143"/>
      <c r="G40" s="560" t="s">
        <v>1126</v>
      </c>
      <c r="H40" s="560" t="s">
        <v>1597</v>
      </c>
      <c r="I40" s="560" t="s">
        <v>117</v>
      </c>
      <c r="J40" s="561"/>
    </row>
    <row r="41" spans="1:10">
      <c r="A41" s="1143" t="s">
        <v>176</v>
      </c>
      <c r="B41" s="1143"/>
      <c r="C41" s="1143"/>
      <c r="D41" s="1143" t="s">
        <v>1829</v>
      </c>
      <c r="E41" s="1143"/>
      <c r="F41" s="1143"/>
      <c r="G41" s="560" t="s">
        <v>1830</v>
      </c>
      <c r="H41" s="560" t="s">
        <v>81</v>
      </c>
      <c r="I41" s="560" t="s">
        <v>77</v>
      </c>
      <c r="J41" s="561"/>
    </row>
    <row r="42" spans="1:10">
      <c r="A42" s="1143" t="s">
        <v>180</v>
      </c>
      <c r="B42" s="1143"/>
      <c r="C42" s="1143"/>
      <c r="D42" s="1143" t="s">
        <v>1831</v>
      </c>
      <c r="E42" s="1143"/>
      <c r="F42" s="1143"/>
      <c r="G42" s="560" t="s">
        <v>1832</v>
      </c>
      <c r="H42" s="560" t="s">
        <v>1145</v>
      </c>
      <c r="I42" s="560" t="s">
        <v>1141</v>
      </c>
      <c r="J42" s="561"/>
    </row>
    <row r="43" spans="1:10">
      <c r="A43" s="1143" t="s">
        <v>184</v>
      </c>
      <c r="B43" s="1143"/>
      <c r="C43" s="1143"/>
      <c r="D43" s="1143" t="s">
        <v>1833</v>
      </c>
      <c r="E43" s="1143"/>
      <c r="F43" s="1143"/>
      <c r="G43" s="560" t="s">
        <v>1834</v>
      </c>
      <c r="H43" s="560" t="s">
        <v>1166</v>
      </c>
      <c r="I43" s="560" t="s">
        <v>289</v>
      </c>
      <c r="J43" s="561"/>
    </row>
    <row r="44" spans="1:10">
      <c r="A44" s="1143" t="s">
        <v>188</v>
      </c>
      <c r="B44" s="1143"/>
      <c r="C44" s="1143"/>
      <c r="D44" s="1143" t="s">
        <v>1835</v>
      </c>
      <c r="E44" s="1143"/>
      <c r="F44" s="1143"/>
      <c r="G44" s="560" t="s">
        <v>182</v>
      </c>
      <c r="H44" s="560" t="s">
        <v>1305</v>
      </c>
      <c r="I44" s="560" t="s">
        <v>289</v>
      </c>
      <c r="J44" s="561"/>
    </row>
    <row r="45" spans="1:10">
      <c r="A45" s="1143" t="s">
        <v>192</v>
      </c>
      <c r="B45" s="1143"/>
      <c r="C45" s="1143"/>
      <c r="D45" s="1143" t="s">
        <v>1836</v>
      </c>
      <c r="E45" s="1143"/>
      <c r="F45" s="1143"/>
      <c r="G45" s="560" t="s">
        <v>1089</v>
      </c>
      <c r="H45" s="560" t="s">
        <v>263</v>
      </c>
      <c r="I45" s="560" t="s">
        <v>109</v>
      </c>
      <c r="J45" s="561"/>
    </row>
    <row r="46" spans="1:10">
      <c r="A46" s="1143" t="s">
        <v>197</v>
      </c>
      <c r="B46" s="1143"/>
      <c r="C46" s="1143"/>
      <c r="D46" s="1143" t="s">
        <v>1837</v>
      </c>
      <c r="E46" s="1143"/>
      <c r="F46" s="1143"/>
      <c r="G46" s="560" t="s">
        <v>1697</v>
      </c>
      <c r="H46" s="560" t="s">
        <v>1838</v>
      </c>
      <c r="I46" s="560" t="s">
        <v>264</v>
      </c>
      <c r="J46" s="561"/>
    </row>
    <row r="47" spans="1:10">
      <c r="A47" s="1143" t="s">
        <v>201</v>
      </c>
      <c r="B47" s="1143"/>
      <c r="C47" s="1143"/>
      <c r="D47" s="1143" t="s">
        <v>1839</v>
      </c>
      <c r="E47" s="1143"/>
      <c r="F47" s="1143"/>
      <c r="G47" s="560" t="s">
        <v>1078</v>
      </c>
      <c r="H47" s="560" t="s">
        <v>1062</v>
      </c>
      <c r="I47" s="560" t="s">
        <v>109</v>
      </c>
      <c r="J47" s="561"/>
    </row>
    <row r="48" spans="1:10">
      <c r="A48" s="1143" t="s">
        <v>1840</v>
      </c>
      <c r="B48" s="1143"/>
      <c r="C48" s="1143"/>
      <c r="D48" s="1143" t="s">
        <v>1841</v>
      </c>
      <c r="E48" s="1143"/>
      <c r="F48" s="1143"/>
      <c r="G48" s="560" t="s">
        <v>208</v>
      </c>
      <c r="H48" s="560" t="s">
        <v>72</v>
      </c>
      <c r="I48" s="560" t="s">
        <v>72</v>
      </c>
      <c r="J48" s="561"/>
    </row>
    <row r="49" spans="1:10">
      <c r="A49" s="1143" t="s">
        <v>209</v>
      </c>
      <c r="B49" s="1143"/>
      <c r="C49" s="1143"/>
      <c r="D49" s="1143" t="s">
        <v>68</v>
      </c>
      <c r="E49" s="1143"/>
      <c r="F49" s="1143"/>
      <c r="G49" s="560" t="s">
        <v>68</v>
      </c>
      <c r="H49" s="560" t="s">
        <v>68</v>
      </c>
      <c r="I49" s="560" t="s">
        <v>68</v>
      </c>
      <c r="J49" s="561"/>
    </row>
    <row r="50" spans="1:10">
      <c r="A50" s="1143" t="s">
        <v>1261</v>
      </c>
      <c r="B50" s="1143"/>
      <c r="C50" s="1143"/>
      <c r="D50" s="1143" t="s">
        <v>1785</v>
      </c>
      <c r="E50" s="1143"/>
      <c r="F50" s="1143"/>
      <c r="G50" s="560" t="s">
        <v>1786</v>
      </c>
      <c r="H50" s="560" t="s">
        <v>1787</v>
      </c>
      <c r="I50" s="560" t="s">
        <v>72</v>
      </c>
      <c r="J50" s="561"/>
    </row>
    <row r="51" spans="1:10">
      <c r="A51" s="1143" t="s">
        <v>210</v>
      </c>
      <c r="B51" s="1143"/>
      <c r="C51" s="1143"/>
      <c r="D51" s="1143" t="s">
        <v>1842</v>
      </c>
      <c r="E51" s="1143"/>
      <c r="F51" s="1143"/>
      <c r="G51" s="560" t="s">
        <v>1843</v>
      </c>
      <c r="H51" s="560" t="s">
        <v>302</v>
      </c>
      <c r="I51" s="560" t="s">
        <v>275</v>
      </c>
      <c r="J51" s="561"/>
    </row>
    <row r="52" spans="1:10">
      <c r="A52" s="1143" t="s">
        <v>212</v>
      </c>
      <c r="B52" s="1143"/>
      <c r="C52" s="1143"/>
      <c r="D52" s="1143" t="s">
        <v>1844</v>
      </c>
      <c r="E52" s="1143"/>
      <c r="F52" s="1143"/>
      <c r="G52" s="560" t="s">
        <v>1845</v>
      </c>
      <c r="H52" s="560" t="s">
        <v>1058</v>
      </c>
      <c r="I52" s="560" t="s">
        <v>142</v>
      </c>
      <c r="J52" s="561"/>
    </row>
    <row r="53" spans="1:10">
      <c r="A53" s="1143" t="s">
        <v>217</v>
      </c>
      <c r="B53" s="1143"/>
      <c r="C53" s="1143"/>
      <c r="D53" s="1143" t="s">
        <v>1846</v>
      </c>
      <c r="E53" s="1143"/>
      <c r="F53" s="1143"/>
      <c r="G53" s="560" t="s">
        <v>1847</v>
      </c>
      <c r="H53" s="560" t="s">
        <v>1848</v>
      </c>
      <c r="I53" s="560" t="s">
        <v>1849</v>
      </c>
      <c r="J53" s="561"/>
    </row>
    <row r="54" spans="1:10">
      <c r="A54" s="1143" t="s">
        <v>222</v>
      </c>
      <c r="B54" s="1143"/>
      <c r="C54" s="1143"/>
      <c r="D54" s="1143" t="s">
        <v>1850</v>
      </c>
      <c r="E54" s="1143"/>
      <c r="F54" s="1143"/>
      <c r="G54" s="560" t="s">
        <v>1851</v>
      </c>
      <c r="H54" s="560" t="s">
        <v>1175</v>
      </c>
      <c r="I54" s="560" t="s">
        <v>371</v>
      </c>
      <c r="J54" s="561"/>
    </row>
    <row r="55" spans="1:10">
      <c r="A55" s="1143" t="s">
        <v>227</v>
      </c>
      <c r="B55" s="1143"/>
      <c r="C55" s="1143"/>
      <c r="D55" s="1143" t="s">
        <v>1852</v>
      </c>
      <c r="E55" s="1143"/>
      <c r="F55" s="1143"/>
      <c r="G55" s="560" t="s">
        <v>1853</v>
      </c>
      <c r="H55" s="560" t="s">
        <v>1624</v>
      </c>
      <c r="I55" s="560" t="s">
        <v>1302</v>
      </c>
      <c r="J55" s="561"/>
    </row>
    <row r="56" spans="1:10">
      <c r="A56" s="1143" t="s">
        <v>231</v>
      </c>
      <c r="B56" s="1143"/>
      <c r="C56" s="1143"/>
      <c r="D56" s="1143" t="s">
        <v>1854</v>
      </c>
      <c r="E56" s="1143"/>
      <c r="F56" s="1143"/>
      <c r="G56" s="560" t="s">
        <v>1657</v>
      </c>
      <c r="H56" s="560" t="s">
        <v>1457</v>
      </c>
      <c r="I56" s="560" t="s">
        <v>264</v>
      </c>
      <c r="J56" s="561"/>
    </row>
    <row r="57" spans="1:10">
      <c r="A57" s="1143" t="s">
        <v>235</v>
      </c>
      <c r="B57" s="1143"/>
      <c r="C57" s="1143"/>
      <c r="D57" s="1143" t="s">
        <v>68</v>
      </c>
      <c r="E57" s="1143"/>
      <c r="F57" s="1143"/>
      <c r="G57" s="560" t="s">
        <v>68</v>
      </c>
      <c r="H57" s="560" t="s">
        <v>68</v>
      </c>
      <c r="I57" s="560" t="s">
        <v>68</v>
      </c>
      <c r="J57" s="561"/>
    </row>
    <row r="58" spans="1:10">
      <c r="A58" s="1143" t="s">
        <v>73</v>
      </c>
      <c r="B58" s="1143"/>
      <c r="C58" s="1143"/>
      <c r="D58" s="1143" t="s">
        <v>1788</v>
      </c>
      <c r="E58" s="1143"/>
      <c r="F58" s="1143"/>
      <c r="G58" s="560" t="s">
        <v>1789</v>
      </c>
      <c r="H58" s="560" t="s">
        <v>1787</v>
      </c>
      <c r="I58" s="560" t="s">
        <v>72</v>
      </c>
      <c r="J58" s="561"/>
    </row>
    <row r="59" spans="1:10">
      <c r="A59" s="1143" t="s">
        <v>1340</v>
      </c>
      <c r="B59" s="1143"/>
      <c r="C59" s="1143"/>
      <c r="D59" s="1143" t="s">
        <v>1855</v>
      </c>
      <c r="E59" s="1143"/>
      <c r="F59" s="1143"/>
      <c r="G59" s="560" t="s">
        <v>1856</v>
      </c>
      <c r="H59" s="560" t="s">
        <v>1687</v>
      </c>
      <c r="I59" s="560" t="s">
        <v>406</v>
      </c>
      <c r="J59" s="561"/>
    </row>
    <row r="60" spans="1:10">
      <c r="A60" s="1143" t="s">
        <v>1343</v>
      </c>
      <c r="B60" s="1143"/>
      <c r="C60" s="1143"/>
      <c r="D60" s="1143" t="s">
        <v>1857</v>
      </c>
      <c r="E60" s="1143"/>
      <c r="F60" s="1143"/>
      <c r="G60" s="560" t="s">
        <v>1858</v>
      </c>
      <c r="H60" s="560" t="s">
        <v>1859</v>
      </c>
      <c r="I60" s="560" t="s">
        <v>406</v>
      </c>
      <c r="J60" s="561"/>
    </row>
    <row r="61" spans="1:10">
      <c r="A61" s="1143" t="s">
        <v>1347</v>
      </c>
      <c r="B61" s="1143"/>
      <c r="C61" s="1143"/>
      <c r="D61" s="1143" t="s">
        <v>1860</v>
      </c>
      <c r="E61" s="1143"/>
      <c r="F61" s="1143"/>
      <c r="G61" s="560" t="s">
        <v>1861</v>
      </c>
      <c r="H61" s="560" t="s">
        <v>72</v>
      </c>
      <c r="I61" s="560" t="s">
        <v>72</v>
      </c>
      <c r="J61" s="561"/>
    </row>
    <row r="62" spans="1:10">
      <c r="A62" s="1143" t="s">
        <v>1349</v>
      </c>
      <c r="B62" s="1143"/>
      <c r="C62" s="1143"/>
      <c r="D62" s="1143" t="s">
        <v>1862</v>
      </c>
      <c r="E62" s="1143"/>
      <c r="F62" s="1143"/>
      <c r="G62" s="560" t="s">
        <v>1861</v>
      </c>
      <c r="H62" s="560" t="s">
        <v>72</v>
      </c>
      <c r="I62" s="560" t="s">
        <v>72</v>
      </c>
      <c r="J62" s="561"/>
    </row>
    <row r="63" spans="1:10">
      <c r="A63" s="1143" t="s">
        <v>251</v>
      </c>
      <c r="B63" s="1143"/>
      <c r="C63" s="1143"/>
      <c r="D63" s="1143" t="s">
        <v>68</v>
      </c>
      <c r="E63" s="1143"/>
      <c r="F63" s="1143"/>
      <c r="G63" s="560" t="s">
        <v>68</v>
      </c>
      <c r="H63" s="560" t="s">
        <v>68</v>
      </c>
      <c r="I63" s="560" t="s">
        <v>68</v>
      </c>
      <c r="J63" s="561"/>
    </row>
    <row r="64" spans="1:10">
      <c r="A64" s="1143" t="s">
        <v>73</v>
      </c>
      <c r="B64" s="1143"/>
      <c r="C64" s="1143"/>
      <c r="D64" s="1143" t="s">
        <v>1788</v>
      </c>
      <c r="E64" s="1143"/>
      <c r="F64" s="1143"/>
      <c r="G64" s="560" t="s">
        <v>1789</v>
      </c>
      <c r="H64" s="560" t="s">
        <v>1787</v>
      </c>
      <c r="I64" s="560" t="s">
        <v>72</v>
      </c>
      <c r="J64" s="561"/>
    </row>
    <row r="65" spans="1:10">
      <c r="A65" s="1143" t="s">
        <v>1352</v>
      </c>
      <c r="B65" s="1143"/>
      <c r="C65" s="1143"/>
      <c r="D65" s="1143" t="s">
        <v>1863</v>
      </c>
      <c r="E65" s="1143"/>
      <c r="F65" s="1143"/>
      <c r="G65" s="560" t="s">
        <v>1864</v>
      </c>
      <c r="H65" s="560" t="s">
        <v>1865</v>
      </c>
      <c r="I65" s="560" t="s">
        <v>466</v>
      </c>
      <c r="J65" s="561"/>
    </row>
    <row r="66" spans="1:10">
      <c r="A66" s="1143" t="s">
        <v>1356</v>
      </c>
      <c r="B66" s="1143"/>
      <c r="C66" s="1143"/>
      <c r="D66" s="1143" t="s">
        <v>1866</v>
      </c>
      <c r="E66" s="1143"/>
      <c r="F66" s="1143"/>
      <c r="G66" s="560" t="s">
        <v>1867</v>
      </c>
      <c r="H66" s="560" t="s">
        <v>1868</v>
      </c>
      <c r="I66" s="560" t="s">
        <v>1869</v>
      </c>
      <c r="J66" s="561"/>
    </row>
    <row r="67" spans="1:10">
      <c r="A67" s="1143" t="s">
        <v>1360</v>
      </c>
      <c r="B67" s="1143"/>
      <c r="C67" s="1143"/>
      <c r="D67" s="1143" t="s">
        <v>1870</v>
      </c>
      <c r="E67" s="1143"/>
      <c r="F67" s="1143"/>
      <c r="G67" s="560" t="s">
        <v>1871</v>
      </c>
      <c r="H67" s="560" t="s">
        <v>1138</v>
      </c>
      <c r="I67" s="560" t="s">
        <v>109</v>
      </c>
      <c r="J67" s="561"/>
    </row>
    <row r="68" spans="1:10">
      <c r="A68" s="1143" t="s">
        <v>1364</v>
      </c>
      <c r="B68" s="1143"/>
      <c r="C68" s="1143"/>
      <c r="D68" s="1143" t="s">
        <v>1872</v>
      </c>
      <c r="E68" s="1143"/>
      <c r="F68" s="1143"/>
      <c r="G68" s="560" t="s">
        <v>1181</v>
      </c>
      <c r="H68" s="560" t="s">
        <v>1457</v>
      </c>
      <c r="I68" s="560" t="s">
        <v>205</v>
      </c>
      <c r="J68" s="561"/>
    </row>
    <row r="69" spans="1:10">
      <c r="A69" s="1143" t="s">
        <v>1366</v>
      </c>
      <c r="B69" s="1143"/>
      <c r="C69" s="1143"/>
      <c r="D69" s="1143" t="s">
        <v>1873</v>
      </c>
      <c r="E69" s="1143"/>
      <c r="F69" s="1143"/>
      <c r="G69" s="560" t="s">
        <v>1096</v>
      </c>
      <c r="H69" s="560" t="s">
        <v>101</v>
      </c>
      <c r="I69" s="560" t="s">
        <v>122</v>
      </c>
      <c r="J69" s="561"/>
    </row>
    <row r="70" spans="1:10">
      <c r="A70" s="1143" t="s">
        <v>1369</v>
      </c>
      <c r="B70" s="1143"/>
      <c r="C70" s="1143"/>
      <c r="D70" s="1143" t="s">
        <v>1874</v>
      </c>
      <c r="E70" s="1143"/>
      <c r="F70" s="1143"/>
      <c r="G70" s="560" t="s">
        <v>1875</v>
      </c>
      <c r="H70" s="560" t="s">
        <v>1210</v>
      </c>
      <c r="I70" s="560" t="s">
        <v>87</v>
      </c>
      <c r="J70" s="561"/>
    </row>
    <row r="71" spans="1:10">
      <c r="A71" s="1143" t="s">
        <v>276</v>
      </c>
      <c r="B71" s="1143"/>
      <c r="C71" s="1143"/>
      <c r="D71" s="1143" t="s">
        <v>68</v>
      </c>
      <c r="E71" s="1143"/>
      <c r="F71" s="1143"/>
      <c r="G71" s="560" t="s">
        <v>68</v>
      </c>
      <c r="H71" s="560" t="s">
        <v>68</v>
      </c>
      <c r="I71" s="560" t="s">
        <v>68</v>
      </c>
      <c r="J71" s="561"/>
    </row>
    <row r="72" spans="1:10">
      <c r="A72" s="1143" t="s">
        <v>73</v>
      </c>
      <c r="B72" s="1143"/>
      <c r="C72" s="1143"/>
      <c r="D72" s="1143" t="s">
        <v>1788</v>
      </c>
      <c r="E72" s="1143"/>
      <c r="F72" s="1143"/>
      <c r="G72" s="560" t="s">
        <v>1789</v>
      </c>
      <c r="H72" s="560" t="s">
        <v>1787</v>
      </c>
      <c r="I72" s="560" t="s">
        <v>72</v>
      </c>
      <c r="J72" s="561"/>
    </row>
    <row r="73" spans="1:10">
      <c r="A73" s="1143" t="s">
        <v>1373</v>
      </c>
      <c r="B73" s="1143"/>
      <c r="C73" s="1143"/>
      <c r="D73" s="1143" t="s">
        <v>1876</v>
      </c>
      <c r="E73" s="1143"/>
      <c r="F73" s="1143"/>
      <c r="G73" s="560" t="s">
        <v>1614</v>
      </c>
      <c r="H73" s="560" t="s">
        <v>1009</v>
      </c>
      <c r="I73" s="560" t="s">
        <v>117</v>
      </c>
      <c r="J73" s="561"/>
    </row>
    <row r="74" spans="1:10">
      <c r="A74" s="1143" t="s">
        <v>1375</v>
      </c>
      <c r="B74" s="1143"/>
      <c r="C74" s="1143"/>
      <c r="D74" s="1143" t="s">
        <v>1877</v>
      </c>
      <c r="E74" s="1143"/>
      <c r="F74" s="1143"/>
      <c r="G74" s="560" t="s">
        <v>1878</v>
      </c>
      <c r="H74" s="560" t="s">
        <v>1879</v>
      </c>
      <c r="I74" s="560" t="s">
        <v>513</v>
      </c>
      <c r="J74" s="561"/>
    </row>
    <row r="75" spans="1:10">
      <c r="A75" s="1143" t="s">
        <v>1379</v>
      </c>
      <c r="B75" s="1143"/>
      <c r="C75" s="1143"/>
      <c r="D75" s="1143" t="s">
        <v>1880</v>
      </c>
      <c r="E75" s="1143"/>
      <c r="F75" s="1143"/>
      <c r="G75" s="560" t="s">
        <v>1881</v>
      </c>
      <c r="H75" s="560" t="s">
        <v>508</v>
      </c>
      <c r="I75" s="560" t="s">
        <v>513</v>
      </c>
      <c r="J75" s="561"/>
    </row>
    <row r="76" spans="1:10">
      <c r="A76" s="1143" t="s">
        <v>1383</v>
      </c>
      <c r="B76" s="1143"/>
      <c r="C76" s="1143"/>
      <c r="D76" s="1143" t="s">
        <v>1882</v>
      </c>
      <c r="E76" s="1143"/>
      <c r="F76" s="1143"/>
      <c r="G76" s="560" t="s">
        <v>1883</v>
      </c>
      <c r="H76" s="560" t="s">
        <v>1884</v>
      </c>
      <c r="I76" s="560" t="s">
        <v>488</v>
      </c>
      <c r="J76" s="561"/>
    </row>
    <row r="77" spans="1:10">
      <c r="A77" s="1143" t="s">
        <v>294</v>
      </c>
      <c r="B77" s="1143"/>
      <c r="C77" s="1143"/>
      <c r="D77" s="1143" t="s">
        <v>68</v>
      </c>
      <c r="E77" s="1143"/>
      <c r="F77" s="1143"/>
      <c r="G77" s="560" t="s">
        <v>68</v>
      </c>
      <c r="H77" s="560" t="s">
        <v>68</v>
      </c>
      <c r="I77" s="560" t="s">
        <v>68</v>
      </c>
      <c r="J77" s="561"/>
    </row>
    <row r="78" spans="1:10">
      <c r="A78" s="1143" t="s">
        <v>73</v>
      </c>
      <c r="B78" s="1143"/>
      <c r="C78" s="1143"/>
      <c r="D78" s="1143" t="s">
        <v>1788</v>
      </c>
      <c r="E78" s="1143"/>
      <c r="F78" s="1143"/>
      <c r="G78" s="560" t="s">
        <v>1789</v>
      </c>
      <c r="H78" s="560" t="s">
        <v>1787</v>
      </c>
      <c r="I78" s="560" t="s">
        <v>72</v>
      </c>
      <c r="J78" s="561"/>
    </row>
    <row r="79" spans="1:10">
      <c r="A79" s="1143" t="s">
        <v>1387</v>
      </c>
      <c r="B79" s="1143"/>
      <c r="C79" s="1143"/>
      <c r="D79" s="1143" t="s">
        <v>593</v>
      </c>
      <c r="E79" s="1143"/>
      <c r="F79" s="1143"/>
      <c r="G79" s="560" t="s">
        <v>593</v>
      </c>
      <c r="H79" s="560" t="s">
        <v>593</v>
      </c>
      <c r="I79" s="560" t="s">
        <v>593</v>
      </c>
      <c r="J79" s="561"/>
    </row>
    <row r="80" spans="1:10">
      <c r="A80" s="1143" t="s">
        <v>1391</v>
      </c>
      <c r="B80" s="1143"/>
      <c r="C80" s="1143"/>
      <c r="D80" s="1143" t="s">
        <v>593</v>
      </c>
      <c r="E80" s="1143"/>
      <c r="F80" s="1143"/>
      <c r="G80" s="560" t="s">
        <v>593</v>
      </c>
      <c r="H80" s="560" t="s">
        <v>593</v>
      </c>
      <c r="I80" s="560" t="s">
        <v>593</v>
      </c>
      <c r="J80" s="561"/>
    </row>
    <row r="81" spans="1:10">
      <c r="A81" s="1143" t="s">
        <v>1394</v>
      </c>
      <c r="B81" s="1143"/>
      <c r="C81" s="1143"/>
      <c r="D81" s="1143" t="s">
        <v>593</v>
      </c>
      <c r="E81" s="1143"/>
      <c r="F81" s="1143"/>
      <c r="G81" s="560" t="s">
        <v>593</v>
      </c>
      <c r="H81" s="560" t="s">
        <v>593</v>
      </c>
      <c r="I81" s="560" t="s">
        <v>593</v>
      </c>
      <c r="J81" s="561"/>
    </row>
    <row r="82" spans="1:10">
      <c r="A82" s="1143" t="s">
        <v>1398</v>
      </c>
      <c r="B82" s="1143"/>
      <c r="C82" s="1143"/>
      <c r="D82" s="1143" t="s">
        <v>593</v>
      </c>
      <c r="E82" s="1143"/>
      <c r="F82" s="1143"/>
      <c r="G82" s="560" t="s">
        <v>593</v>
      </c>
      <c r="H82" s="560" t="s">
        <v>593</v>
      </c>
      <c r="I82" s="560" t="s">
        <v>593</v>
      </c>
      <c r="J82" s="561"/>
    </row>
    <row r="83" spans="1:10">
      <c r="A83" s="1143" t="s">
        <v>1401</v>
      </c>
      <c r="B83" s="1143"/>
      <c r="C83" s="1143"/>
      <c r="D83" s="1143" t="s">
        <v>593</v>
      </c>
      <c r="E83" s="1143"/>
      <c r="F83" s="1143"/>
      <c r="G83" s="560" t="s">
        <v>593</v>
      </c>
      <c r="H83" s="560" t="s">
        <v>593</v>
      </c>
      <c r="I83" s="560" t="s">
        <v>593</v>
      </c>
      <c r="J83" s="561"/>
    </row>
    <row r="84" spans="1:10">
      <c r="A84" s="1143" t="s">
        <v>1402</v>
      </c>
      <c r="B84" s="1143"/>
      <c r="C84" s="1143"/>
      <c r="D84" s="1143" t="s">
        <v>593</v>
      </c>
      <c r="E84" s="1143"/>
      <c r="F84" s="1143"/>
      <c r="G84" s="560" t="s">
        <v>593</v>
      </c>
      <c r="H84" s="560" t="s">
        <v>593</v>
      </c>
      <c r="I84" s="560" t="s">
        <v>593</v>
      </c>
      <c r="J84" s="561"/>
    </row>
    <row r="85" spans="1:10">
      <c r="A85" s="1143" t="s">
        <v>1403</v>
      </c>
      <c r="B85" s="1143"/>
      <c r="C85" s="1143"/>
      <c r="D85" s="1143" t="s">
        <v>593</v>
      </c>
      <c r="E85" s="1143"/>
      <c r="F85" s="1143"/>
      <c r="G85" s="560" t="s">
        <v>593</v>
      </c>
      <c r="H85" s="560" t="s">
        <v>593</v>
      </c>
      <c r="I85" s="560" t="s">
        <v>593</v>
      </c>
      <c r="J85" s="561"/>
    </row>
    <row r="86" spans="1:10">
      <c r="A86" s="1143" t="s">
        <v>1404</v>
      </c>
      <c r="B86" s="1143"/>
      <c r="C86" s="1143"/>
      <c r="D86" s="1143" t="s">
        <v>593</v>
      </c>
      <c r="E86" s="1143"/>
      <c r="F86" s="1143"/>
      <c r="G86" s="560" t="s">
        <v>593</v>
      </c>
      <c r="H86" s="560" t="s">
        <v>593</v>
      </c>
      <c r="I86" s="560" t="s">
        <v>593</v>
      </c>
      <c r="J86" s="561"/>
    </row>
    <row r="87" spans="1:10">
      <c r="A87" s="1143" t="s">
        <v>1406</v>
      </c>
      <c r="B87" s="1143"/>
      <c r="C87" s="1143"/>
      <c r="D87" s="1143" t="s">
        <v>593</v>
      </c>
      <c r="E87" s="1143"/>
      <c r="F87" s="1143"/>
      <c r="G87" s="560" t="s">
        <v>593</v>
      </c>
      <c r="H87" s="560" t="s">
        <v>593</v>
      </c>
      <c r="I87" s="560" t="s">
        <v>593</v>
      </c>
      <c r="J87" s="561"/>
    </row>
    <row r="88" spans="1:10">
      <c r="A88" s="1143" t="s">
        <v>324</v>
      </c>
      <c r="B88" s="1143"/>
      <c r="C88" s="1143"/>
      <c r="D88" s="1143" t="s">
        <v>68</v>
      </c>
      <c r="E88" s="1143"/>
      <c r="F88" s="1143"/>
      <c r="G88" s="560" t="s">
        <v>68</v>
      </c>
      <c r="H88" s="560" t="s">
        <v>68</v>
      </c>
      <c r="I88" s="560" t="s">
        <v>68</v>
      </c>
      <c r="J88" s="561"/>
    </row>
    <row r="89" spans="1:10">
      <c r="A89" s="1143" t="s">
        <v>73</v>
      </c>
      <c r="B89" s="1143"/>
      <c r="C89" s="1143"/>
      <c r="D89" s="1143" t="s">
        <v>1788</v>
      </c>
      <c r="E89" s="1143"/>
      <c r="F89" s="1143"/>
      <c r="G89" s="560" t="s">
        <v>1789</v>
      </c>
      <c r="H89" s="560" t="s">
        <v>1787</v>
      </c>
      <c r="I89" s="560" t="s">
        <v>72</v>
      </c>
      <c r="J89" s="561"/>
    </row>
    <row r="90" spans="1:10">
      <c r="A90" s="1143" t="s">
        <v>1407</v>
      </c>
      <c r="B90" s="1143"/>
      <c r="C90" s="1143"/>
      <c r="D90" s="1143" t="s">
        <v>1885</v>
      </c>
      <c r="E90" s="1143"/>
      <c r="F90" s="1143"/>
      <c r="G90" s="560" t="s">
        <v>353</v>
      </c>
      <c r="H90" s="560" t="s">
        <v>126</v>
      </c>
      <c r="I90" s="560" t="s">
        <v>319</v>
      </c>
      <c r="J90" s="561"/>
    </row>
    <row r="91" spans="1:10">
      <c r="A91" s="1143" t="s">
        <v>1409</v>
      </c>
      <c r="B91" s="1143"/>
      <c r="C91" s="1143"/>
      <c r="D91" s="1143" t="s">
        <v>1810</v>
      </c>
      <c r="E91" s="1143"/>
      <c r="F91" s="1143"/>
      <c r="G91" s="560" t="s">
        <v>425</v>
      </c>
      <c r="H91" s="560" t="s">
        <v>1124</v>
      </c>
      <c r="I91" s="560" t="s">
        <v>319</v>
      </c>
      <c r="J91" s="561"/>
    </row>
    <row r="92" spans="1:10">
      <c r="A92" s="1143" t="s">
        <v>1410</v>
      </c>
      <c r="B92" s="1143"/>
      <c r="C92" s="1143"/>
      <c r="D92" s="1143" t="s">
        <v>1886</v>
      </c>
      <c r="E92" s="1143"/>
      <c r="F92" s="1143"/>
      <c r="G92" s="560" t="s">
        <v>1887</v>
      </c>
      <c r="H92" s="560" t="s">
        <v>480</v>
      </c>
      <c r="I92" s="560" t="s">
        <v>226</v>
      </c>
      <c r="J92" s="561"/>
    </row>
    <row r="93" spans="1:10">
      <c r="A93" s="1143" t="s">
        <v>333</v>
      </c>
      <c r="B93" s="1143"/>
      <c r="C93" s="1143"/>
      <c r="D93" s="1143" t="s">
        <v>68</v>
      </c>
      <c r="E93" s="1143"/>
      <c r="F93" s="1143"/>
      <c r="G93" s="560" t="s">
        <v>68</v>
      </c>
      <c r="H93" s="560" t="s">
        <v>68</v>
      </c>
      <c r="I93" s="560" t="s">
        <v>68</v>
      </c>
      <c r="J93" s="561"/>
    </row>
    <row r="94" spans="1:10">
      <c r="A94" s="1143" t="s">
        <v>73</v>
      </c>
      <c r="B94" s="1143"/>
      <c r="C94" s="1143"/>
      <c r="D94" s="1143" t="s">
        <v>1788</v>
      </c>
      <c r="E94" s="1143"/>
      <c r="F94" s="1143"/>
      <c r="G94" s="560" t="s">
        <v>1789</v>
      </c>
      <c r="H94" s="560" t="s">
        <v>1787</v>
      </c>
      <c r="I94" s="560" t="s">
        <v>72</v>
      </c>
      <c r="J94" s="561"/>
    </row>
    <row r="95" spans="1:10">
      <c r="A95" s="1143" t="s">
        <v>1413</v>
      </c>
      <c r="B95" s="1143"/>
      <c r="C95" s="1143"/>
      <c r="D95" s="1143" t="s">
        <v>1888</v>
      </c>
      <c r="E95" s="1143"/>
      <c r="F95" s="1143"/>
      <c r="G95" s="560" t="s">
        <v>1889</v>
      </c>
      <c r="H95" s="560" t="s">
        <v>1890</v>
      </c>
      <c r="I95" s="560" t="s">
        <v>498</v>
      </c>
      <c r="J95" s="561"/>
    </row>
    <row r="96" spans="1:10">
      <c r="A96" s="1143" t="s">
        <v>1417</v>
      </c>
      <c r="B96" s="1143"/>
      <c r="C96" s="1143"/>
      <c r="D96" s="1143" t="s">
        <v>1209</v>
      </c>
      <c r="E96" s="1143"/>
      <c r="F96" s="1143"/>
      <c r="G96" s="560" t="s">
        <v>1891</v>
      </c>
      <c r="H96" s="560" t="s">
        <v>341</v>
      </c>
      <c r="I96" s="560" t="s">
        <v>319</v>
      </c>
      <c r="J96" s="561"/>
    </row>
    <row r="97" spans="1:10">
      <c r="A97" s="1143" t="s">
        <v>1420</v>
      </c>
      <c r="B97" s="1143"/>
      <c r="C97" s="1143"/>
      <c r="D97" s="1143" t="s">
        <v>1892</v>
      </c>
      <c r="E97" s="1143"/>
      <c r="F97" s="1143"/>
      <c r="G97" s="560" t="s">
        <v>1893</v>
      </c>
      <c r="H97" s="560" t="s">
        <v>126</v>
      </c>
      <c r="I97" s="560" t="s">
        <v>319</v>
      </c>
      <c r="J97" s="561"/>
    </row>
    <row r="98" spans="1:10">
      <c r="A98" s="1143" t="s">
        <v>345</v>
      </c>
      <c r="B98" s="1143"/>
      <c r="C98" s="1143"/>
      <c r="D98" s="1143" t="s">
        <v>68</v>
      </c>
      <c r="E98" s="1143"/>
      <c r="F98" s="1143"/>
      <c r="G98" s="560" t="s">
        <v>68</v>
      </c>
      <c r="H98" s="560" t="s">
        <v>68</v>
      </c>
      <c r="I98" s="560" t="s">
        <v>68</v>
      </c>
      <c r="J98" s="561"/>
    </row>
    <row r="99" spans="1:10">
      <c r="A99" s="1143" t="s">
        <v>1422</v>
      </c>
      <c r="B99" s="1143"/>
      <c r="C99" s="1143"/>
      <c r="D99" s="1143" t="s">
        <v>1855</v>
      </c>
      <c r="E99" s="1143"/>
      <c r="F99" s="1143"/>
      <c r="G99" s="560" t="s">
        <v>1856</v>
      </c>
      <c r="H99" s="560" t="s">
        <v>1787</v>
      </c>
      <c r="I99" s="560" t="s">
        <v>72</v>
      </c>
      <c r="J99" s="561"/>
    </row>
    <row r="100" spans="1:10">
      <c r="A100" s="1143" t="s">
        <v>1423</v>
      </c>
      <c r="B100" s="1143"/>
      <c r="C100" s="1143"/>
      <c r="D100" s="1143" t="s">
        <v>1894</v>
      </c>
      <c r="E100" s="1143"/>
      <c r="F100" s="1143"/>
      <c r="G100" s="560" t="s">
        <v>374</v>
      </c>
      <c r="H100" s="560" t="s">
        <v>1281</v>
      </c>
      <c r="I100" s="560" t="s">
        <v>221</v>
      </c>
      <c r="J100" s="561"/>
    </row>
    <row r="101" spans="1:10">
      <c r="A101" s="1143" t="s">
        <v>1425</v>
      </c>
      <c r="B101" s="1143"/>
      <c r="C101" s="1143"/>
      <c r="D101" s="1143" t="s">
        <v>1895</v>
      </c>
      <c r="E101" s="1143"/>
      <c r="F101" s="1143"/>
      <c r="G101" s="560" t="s">
        <v>1896</v>
      </c>
      <c r="H101" s="560" t="s">
        <v>1021</v>
      </c>
      <c r="I101" s="560" t="s">
        <v>93</v>
      </c>
      <c r="J101" s="561"/>
    </row>
    <row r="102" spans="1:10">
      <c r="A102" s="1143" t="s">
        <v>1428</v>
      </c>
      <c r="B102" s="1143"/>
      <c r="C102" s="1143"/>
      <c r="D102" s="1143" t="s">
        <v>1828</v>
      </c>
      <c r="E102" s="1143"/>
      <c r="F102" s="1143"/>
      <c r="G102" s="560" t="s">
        <v>1897</v>
      </c>
      <c r="H102" s="560" t="s">
        <v>195</v>
      </c>
      <c r="I102" s="560" t="s">
        <v>289</v>
      </c>
      <c r="J102" s="561"/>
    </row>
    <row r="103" spans="1:10">
      <c r="A103" s="1143" t="s">
        <v>1431</v>
      </c>
      <c r="B103" s="1143"/>
      <c r="C103" s="1143"/>
      <c r="D103" s="1143" t="s">
        <v>1898</v>
      </c>
      <c r="E103" s="1143"/>
      <c r="F103" s="1143"/>
      <c r="G103" s="560" t="s">
        <v>1153</v>
      </c>
      <c r="H103" s="560" t="s">
        <v>1899</v>
      </c>
      <c r="I103" s="560" t="s">
        <v>1212</v>
      </c>
      <c r="J103" s="561"/>
    </row>
    <row r="104" spans="1:10">
      <c r="A104" s="1143" t="s">
        <v>1434</v>
      </c>
      <c r="B104" s="1143"/>
      <c r="C104" s="1143"/>
      <c r="D104" s="1143" t="s">
        <v>1900</v>
      </c>
      <c r="E104" s="1143"/>
      <c r="F104" s="1143"/>
      <c r="G104" s="560" t="s">
        <v>1619</v>
      </c>
      <c r="H104" s="560" t="s">
        <v>1901</v>
      </c>
      <c r="I104" s="560" t="s">
        <v>1706</v>
      </c>
      <c r="J104" s="561"/>
    </row>
    <row r="105" spans="1:10">
      <c r="A105" s="1143" t="s">
        <v>1437</v>
      </c>
      <c r="B105" s="1143"/>
      <c r="C105" s="1143"/>
      <c r="D105" s="1143" t="s">
        <v>1558</v>
      </c>
      <c r="E105" s="1143"/>
      <c r="F105" s="1143"/>
      <c r="G105" s="560" t="s">
        <v>1902</v>
      </c>
      <c r="H105" s="560" t="s">
        <v>1473</v>
      </c>
      <c r="I105" s="560" t="s">
        <v>1196</v>
      </c>
      <c r="J105" s="561"/>
    </row>
    <row r="106" spans="1:10">
      <c r="A106" s="1143" t="s">
        <v>1439</v>
      </c>
      <c r="B106" s="1143"/>
      <c r="C106" s="1143"/>
      <c r="D106" s="1143" t="s">
        <v>1903</v>
      </c>
      <c r="E106" s="1143"/>
      <c r="F106" s="1143"/>
      <c r="G106" s="560" t="s">
        <v>1189</v>
      </c>
      <c r="H106" s="560" t="s">
        <v>1117</v>
      </c>
      <c r="I106" s="560" t="s">
        <v>150</v>
      </c>
      <c r="J106" s="561"/>
    </row>
    <row r="107" spans="1:10">
      <c r="A107" s="1143" t="s">
        <v>1441</v>
      </c>
      <c r="B107" s="1143"/>
      <c r="C107" s="1143"/>
      <c r="D107" s="1143" t="s">
        <v>45</v>
      </c>
      <c r="E107" s="1143"/>
      <c r="F107" s="1143"/>
      <c r="G107" s="560" t="s">
        <v>1599</v>
      </c>
      <c r="H107" s="560" t="s">
        <v>318</v>
      </c>
      <c r="I107" s="560" t="s">
        <v>105</v>
      </c>
      <c r="J107" s="561"/>
    </row>
    <row r="108" spans="1:10">
      <c r="A108" s="1143" t="s">
        <v>1442</v>
      </c>
      <c r="B108" s="1143"/>
      <c r="C108" s="1143"/>
      <c r="D108" s="1143" t="s">
        <v>1904</v>
      </c>
      <c r="E108" s="1143"/>
      <c r="F108" s="1143"/>
      <c r="G108" s="560" t="s">
        <v>1905</v>
      </c>
      <c r="H108" s="560" t="s">
        <v>72</v>
      </c>
      <c r="I108" s="560" t="s">
        <v>72</v>
      </c>
      <c r="J108" s="561"/>
    </row>
    <row r="109" spans="1:10">
      <c r="A109" s="1143" t="s">
        <v>1906</v>
      </c>
      <c r="B109" s="1143"/>
      <c r="C109" s="1143"/>
      <c r="D109" s="1143" t="s">
        <v>68</v>
      </c>
      <c r="E109" s="1143"/>
      <c r="F109" s="1143"/>
      <c r="G109" s="560" t="s">
        <v>68</v>
      </c>
      <c r="H109" s="560" t="s">
        <v>68</v>
      </c>
      <c r="I109" s="560" t="s">
        <v>68</v>
      </c>
      <c r="J109" s="561"/>
    </row>
    <row r="110" spans="1:10">
      <c r="A110" s="1143" t="s">
        <v>1422</v>
      </c>
      <c r="B110" s="1143"/>
      <c r="C110" s="1143"/>
      <c r="D110" s="1143" t="s">
        <v>1855</v>
      </c>
      <c r="E110" s="1143"/>
      <c r="F110" s="1143"/>
      <c r="G110" s="560" t="s">
        <v>1856</v>
      </c>
      <c r="H110" s="560" t="s">
        <v>1787</v>
      </c>
      <c r="I110" s="560" t="s">
        <v>72</v>
      </c>
      <c r="J110" s="561"/>
    </row>
    <row r="111" spans="1:10">
      <c r="A111" s="1143" t="s">
        <v>391</v>
      </c>
      <c r="B111" s="1143"/>
      <c r="C111" s="1143"/>
      <c r="D111" s="1143" t="s">
        <v>1907</v>
      </c>
      <c r="E111" s="1143"/>
      <c r="F111" s="1143"/>
      <c r="G111" s="560" t="s">
        <v>1908</v>
      </c>
      <c r="H111" s="560" t="s">
        <v>1787</v>
      </c>
      <c r="I111" s="560" t="s">
        <v>72</v>
      </c>
      <c r="J111" s="561"/>
    </row>
    <row r="112" spans="1:10">
      <c r="A112" s="1143" t="s">
        <v>1909</v>
      </c>
      <c r="B112" s="1143"/>
      <c r="C112" s="1143"/>
      <c r="D112" s="1143" t="s">
        <v>124</v>
      </c>
      <c r="E112" s="1143"/>
      <c r="F112" s="1143"/>
      <c r="G112" s="560" t="s">
        <v>125</v>
      </c>
      <c r="H112" s="560" t="s">
        <v>341</v>
      </c>
      <c r="I112" s="560" t="s">
        <v>498</v>
      </c>
      <c r="J112" s="561"/>
    </row>
    <row r="113" spans="1:10">
      <c r="A113" s="1143" t="s">
        <v>1910</v>
      </c>
      <c r="B113" s="1143"/>
      <c r="C113" s="1143"/>
      <c r="D113" s="1143" t="s">
        <v>1911</v>
      </c>
      <c r="E113" s="1143"/>
      <c r="F113" s="1143"/>
      <c r="G113" s="560" t="s">
        <v>1475</v>
      </c>
      <c r="H113" s="560" t="s">
        <v>1744</v>
      </c>
      <c r="I113" s="560" t="s">
        <v>205</v>
      </c>
      <c r="J113" s="561"/>
    </row>
    <row r="114" spans="1:10">
      <c r="A114" s="1143" t="s">
        <v>1912</v>
      </c>
      <c r="B114" s="1143"/>
      <c r="C114" s="1143"/>
      <c r="D114" s="1143" t="s">
        <v>1913</v>
      </c>
      <c r="E114" s="1143"/>
      <c r="F114" s="1143"/>
      <c r="G114" s="560" t="s">
        <v>1914</v>
      </c>
      <c r="H114" s="560" t="s">
        <v>1535</v>
      </c>
      <c r="I114" s="560" t="s">
        <v>532</v>
      </c>
      <c r="J114" s="561"/>
    </row>
    <row r="115" spans="1:10">
      <c r="A115" s="1143" t="s">
        <v>1915</v>
      </c>
      <c r="B115" s="1143"/>
      <c r="C115" s="1143"/>
      <c r="D115" s="1143" t="s">
        <v>1916</v>
      </c>
      <c r="E115" s="1143"/>
      <c r="F115" s="1143"/>
      <c r="G115" s="560" t="s">
        <v>1463</v>
      </c>
      <c r="H115" s="560" t="s">
        <v>1917</v>
      </c>
      <c r="I115" s="560" t="s">
        <v>1795</v>
      </c>
      <c r="J115" s="561"/>
    </row>
    <row r="116" spans="1:10">
      <c r="A116" s="1143" t="s">
        <v>1918</v>
      </c>
      <c r="B116" s="1143"/>
      <c r="C116" s="1143"/>
      <c r="D116" s="1143" t="s">
        <v>1919</v>
      </c>
      <c r="E116" s="1143"/>
      <c r="F116" s="1143"/>
      <c r="G116" s="560" t="s">
        <v>1023</v>
      </c>
      <c r="H116" s="560" t="s">
        <v>1545</v>
      </c>
      <c r="I116" s="560" t="s">
        <v>1163</v>
      </c>
      <c r="J116" s="561"/>
    </row>
    <row r="117" spans="1:10">
      <c r="A117" s="1143" t="s">
        <v>1920</v>
      </c>
      <c r="B117" s="1143"/>
      <c r="C117" s="1143"/>
      <c r="D117" s="1143" t="s">
        <v>1921</v>
      </c>
      <c r="E117" s="1143"/>
      <c r="F117" s="1143"/>
      <c r="G117" s="560" t="s">
        <v>203</v>
      </c>
      <c r="H117" s="560" t="s">
        <v>1225</v>
      </c>
      <c r="I117" s="560" t="s">
        <v>1163</v>
      </c>
      <c r="J117" s="561"/>
    </row>
    <row r="118" spans="1:10">
      <c r="A118" s="1143" t="s">
        <v>1922</v>
      </c>
      <c r="B118" s="1143"/>
      <c r="C118" s="1143"/>
      <c r="D118" s="1143" t="s">
        <v>1923</v>
      </c>
      <c r="E118" s="1143"/>
      <c r="F118" s="1143"/>
      <c r="G118" s="560" t="s">
        <v>1924</v>
      </c>
      <c r="H118" s="560" t="s">
        <v>1925</v>
      </c>
      <c r="I118" s="560" t="s">
        <v>1196</v>
      </c>
      <c r="J118" s="561"/>
    </row>
    <row r="119" spans="1:10">
      <c r="A119" s="1143" t="s">
        <v>1926</v>
      </c>
      <c r="B119" s="1143"/>
      <c r="C119" s="1143"/>
      <c r="D119" s="1143" t="s">
        <v>1927</v>
      </c>
      <c r="E119" s="1143"/>
      <c r="F119" s="1143"/>
      <c r="G119" s="560" t="s">
        <v>1676</v>
      </c>
      <c r="H119" s="560" t="s">
        <v>72</v>
      </c>
      <c r="I119" s="560" t="s">
        <v>72</v>
      </c>
      <c r="J119" s="561"/>
    </row>
    <row r="120" spans="1:10">
      <c r="A120" s="1143" t="s">
        <v>421</v>
      </c>
      <c r="B120" s="1143"/>
      <c r="C120" s="1143"/>
      <c r="D120" s="1143" t="s">
        <v>1928</v>
      </c>
      <c r="E120" s="1143"/>
      <c r="F120" s="1143"/>
      <c r="G120" s="560" t="s">
        <v>1929</v>
      </c>
      <c r="H120" s="560" t="s">
        <v>1787</v>
      </c>
      <c r="I120" s="560" t="s">
        <v>72</v>
      </c>
      <c r="J120" s="561"/>
    </row>
    <row r="121" spans="1:10">
      <c r="A121" s="1143" t="s">
        <v>1930</v>
      </c>
      <c r="B121" s="1143"/>
      <c r="C121" s="1143"/>
      <c r="D121" s="1143" t="s">
        <v>1931</v>
      </c>
      <c r="E121" s="1143"/>
      <c r="F121" s="1143"/>
      <c r="G121" s="560" t="s">
        <v>1526</v>
      </c>
      <c r="H121" s="560" t="s">
        <v>302</v>
      </c>
      <c r="I121" s="560" t="s">
        <v>196</v>
      </c>
      <c r="J121" s="561"/>
    </row>
    <row r="122" spans="1:10">
      <c r="A122" s="1143" t="s">
        <v>1932</v>
      </c>
      <c r="B122" s="1143"/>
      <c r="C122" s="1143"/>
      <c r="D122" s="1143" t="s">
        <v>1933</v>
      </c>
      <c r="E122" s="1143"/>
      <c r="F122" s="1143"/>
      <c r="G122" s="560" t="s">
        <v>1475</v>
      </c>
      <c r="H122" s="560" t="s">
        <v>1328</v>
      </c>
      <c r="I122" s="560" t="s">
        <v>105</v>
      </c>
      <c r="J122" s="561"/>
    </row>
    <row r="123" spans="1:10">
      <c r="A123" s="1143" t="s">
        <v>1934</v>
      </c>
      <c r="B123" s="1143"/>
      <c r="C123" s="1143"/>
      <c r="D123" s="1143" t="s">
        <v>1935</v>
      </c>
      <c r="E123" s="1143"/>
      <c r="F123" s="1143"/>
      <c r="G123" s="560" t="s">
        <v>1249</v>
      </c>
      <c r="H123" s="560" t="s">
        <v>263</v>
      </c>
      <c r="I123" s="560" t="s">
        <v>1202</v>
      </c>
      <c r="J123" s="561"/>
    </row>
    <row r="124" spans="1:10">
      <c r="A124" s="1143" t="s">
        <v>1936</v>
      </c>
      <c r="B124" s="1143"/>
      <c r="C124" s="1143"/>
      <c r="D124" s="1143" t="s">
        <v>1937</v>
      </c>
      <c r="E124" s="1143"/>
      <c r="F124" s="1143"/>
      <c r="G124" s="560" t="s">
        <v>1065</v>
      </c>
      <c r="H124" s="560" t="s">
        <v>1062</v>
      </c>
      <c r="I124" s="560" t="s">
        <v>1141</v>
      </c>
      <c r="J124" s="561"/>
    </row>
    <row r="125" spans="1:10">
      <c r="A125" s="1143" t="s">
        <v>1938</v>
      </c>
      <c r="B125" s="1143"/>
      <c r="C125" s="1143"/>
      <c r="D125" s="1143" t="s">
        <v>1483</v>
      </c>
      <c r="E125" s="1143"/>
      <c r="F125" s="1143"/>
      <c r="G125" s="560" t="s">
        <v>1875</v>
      </c>
      <c r="H125" s="560" t="s">
        <v>1412</v>
      </c>
      <c r="I125" s="560" t="s">
        <v>150</v>
      </c>
      <c r="J125" s="561"/>
    </row>
    <row r="126" spans="1:10">
      <c r="A126" s="1143" t="s">
        <v>1926</v>
      </c>
      <c r="B126" s="1143"/>
      <c r="C126" s="1143"/>
      <c r="D126" s="1143" t="s">
        <v>1939</v>
      </c>
      <c r="E126" s="1143"/>
      <c r="F126" s="1143"/>
      <c r="G126" s="560" t="s">
        <v>483</v>
      </c>
      <c r="H126" s="560" t="s">
        <v>72</v>
      </c>
      <c r="I126" s="560" t="s">
        <v>72</v>
      </c>
      <c r="J126" s="561"/>
    </row>
    <row r="127" spans="1:10">
      <c r="A127" s="1143" t="s">
        <v>1940</v>
      </c>
      <c r="B127" s="1143"/>
      <c r="C127" s="1143"/>
      <c r="D127" s="1143" t="s">
        <v>68</v>
      </c>
      <c r="E127" s="1143"/>
      <c r="F127" s="1143"/>
      <c r="G127" s="560" t="s">
        <v>68</v>
      </c>
      <c r="H127" s="560" t="s">
        <v>68</v>
      </c>
      <c r="I127" s="560" t="s">
        <v>68</v>
      </c>
      <c r="J127" s="561"/>
    </row>
    <row r="128" spans="1:10">
      <c r="A128" s="1143" t="s">
        <v>1422</v>
      </c>
      <c r="B128" s="1143"/>
      <c r="C128" s="1143"/>
      <c r="D128" s="1143" t="s">
        <v>1855</v>
      </c>
      <c r="E128" s="1143"/>
      <c r="F128" s="1143"/>
      <c r="G128" s="560" t="s">
        <v>1856</v>
      </c>
      <c r="H128" s="560" t="s">
        <v>1787</v>
      </c>
      <c r="I128" s="560" t="s">
        <v>72</v>
      </c>
      <c r="J128" s="561"/>
    </row>
    <row r="129" spans="1:10">
      <c r="A129" s="1143" t="s">
        <v>1941</v>
      </c>
      <c r="B129" s="1143"/>
      <c r="C129" s="1143"/>
      <c r="D129" s="1143" t="s">
        <v>1907</v>
      </c>
      <c r="E129" s="1143"/>
      <c r="F129" s="1143"/>
      <c r="G129" s="560" t="s">
        <v>1908</v>
      </c>
      <c r="H129" s="560" t="s">
        <v>1787</v>
      </c>
      <c r="I129" s="560" t="s">
        <v>72</v>
      </c>
      <c r="J129" s="561"/>
    </row>
    <row r="130" spans="1:10">
      <c r="A130" s="1143" t="s">
        <v>1942</v>
      </c>
      <c r="B130" s="1143"/>
      <c r="C130" s="1143"/>
      <c r="D130" s="1143" t="s">
        <v>1943</v>
      </c>
      <c r="E130" s="1143"/>
      <c r="F130" s="1143"/>
      <c r="G130" s="560" t="s">
        <v>1944</v>
      </c>
      <c r="H130" s="560" t="s">
        <v>1945</v>
      </c>
      <c r="I130" s="560" t="s">
        <v>1212</v>
      </c>
      <c r="J130" s="561"/>
    </row>
    <row r="131" spans="1:10">
      <c r="A131" s="1143" t="s">
        <v>1946</v>
      </c>
      <c r="B131" s="1143"/>
      <c r="C131" s="1143"/>
      <c r="D131" s="1143" t="s">
        <v>1139</v>
      </c>
      <c r="E131" s="1143"/>
      <c r="F131" s="1143"/>
      <c r="G131" s="560" t="s">
        <v>1924</v>
      </c>
      <c r="H131" s="560" t="s">
        <v>1947</v>
      </c>
      <c r="I131" s="560" t="s">
        <v>1460</v>
      </c>
      <c r="J131" s="561"/>
    </row>
    <row r="132" spans="1:10">
      <c r="A132" s="1143" t="s">
        <v>1948</v>
      </c>
      <c r="B132" s="1143"/>
      <c r="C132" s="1143"/>
      <c r="D132" s="1143" t="s">
        <v>1487</v>
      </c>
      <c r="E132" s="1143"/>
      <c r="F132" s="1143"/>
      <c r="G132" s="560" t="s">
        <v>1721</v>
      </c>
      <c r="H132" s="560" t="s">
        <v>358</v>
      </c>
      <c r="I132" s="560" t="s">
        <v>1141</v>
      </c>
      <c r="J132" s="561"/>
    </row>
    <row r="133" spans="1:10">
      <c r="A133" s="1143" t="s">
        <v>1949</v>
      </c>
      <c r="B133" s="1143"/>
      <c r="C133" s="1143"/>
      <c r="D133" s="1143" t="s">
        <v>1950</v>
      </c>
      <c r="E133" s="1143"/>
      <c r="F133" s="1143"/>
      <c r="G133" s="560" t="s">
        <v>500</v>
      </c>
      <c r="H133" s="560" t="s">
        <v>1066</v>
      </c>
      <c r="I133" s="560" t="s">
        <v>93</v>
      </c>
      <c r="J133" s="561"/>
    </row>
    <row r="134" spans="1:10">
      <c r="A134" s="1143" t="s">
        <v>1951</v>
      </c>
      <c r="B134" s="1143"/>
      <c r="C134" s="1143"/>
      <c r="D134" s="1143" t="s">
        <v>1952</v>
      </c>
      <c r="E134" s="1143"/>
      <c r="F134" s="1143"/>
      <c r="G134" s="560" t="s">
        <v>1953</v>
      </c>
      <c r="H134" s="560" t="s">
        <v>1954</v>
      </c>
      <c r="I134" s="560" t="s">
        <v>1196</v>
      </c>
      <c r="J134" s="561"/>
    </row>
    <row r="135" spans="1:10">
      <c r="A135" s="1143" t="s">
        <v>1955</v>
      </c>
      <c r="B135" s="1143"/>
      <c r="C135" s="1143"/>
      <c r="D135" s="1143" t="s">
        <v>1885</v>
      </c>
      <c r="E135" s="1143"/>
      <c r="F135" s="1143"/>
      <c r="G135" s="560" t="s">
        <v>442</v>
      </c>
      <c r="H135" s="560" t="s">
        <v>1787</v>
      </c>
      <c r="I135" s="560" t="s">
        <v>72</v>
      </c>
      <c r="J135" s="561"/>
    </row>
    <row r="136" spans="1:10">
      <c r="A136" s="1143" t="s">
        <v>1956</v>
      </c>
      <c r="B136" s="1143"/>
      <c r="C136" s="1143"/>
      <c r="D136" s="1143" t="s">
        <v>1928</v>
      </c>
      <c r="E136" s="1143"/>
      <c r="F136" s="1143"/>
      <c r="G136" s="560" t="s">
        <v>1929</v>
      </c>
      <c r="H136" s="560" t="s">
        <v>1787</v>
      </c>
      <c r="I136" s="560" t="s">
        <v>72</v>
      </c>
      <c r="J136" s="561"/>
    </row>
    <row r="137" spans="1:10">
      <c r="A137" s="1143" t="s">
        <v>1957</v>
      </c>
      <c r="B137" s="1143"/>
      <c r="C137" s="1143"/>
      <c r="D137" s="1143" t="s">
        <v>1958</v>
      </c>
      <c r="E137" s="1143"/>
      <c r="F137" s="1143"/>
      <c r="G137" s="560" t="s">
        <v>1959</v>
      </c>
      <c r="H137" s="560" t="s">
        <v>1473</v>
      </c>
      <c r="I137" s="560" t="s">
        <v>1163</v>
      </c>
      <c r="J137" s="561"/>
    </row>
    <row r="138" spans="1:10">
      <c r="A138" s="1143" t="s">
        <v>1960</v>
      </c>
      <c r="B138" s="1143"/>
      <c r="C138" s="1143"/>
      <c r="D138" s="1143" t="s">
        <v>1200</v>
      </c>
      <c r="E138" s="1143"/>
      <c r="F138" s="1143"/>
      <c r="G138" s="560" t="s">
        <v>1475</v>
      </c>
      <c r="H138" s="560" t="s">
        <v>484</v>
      </c>
      <c r="I138" s="560" t="s">
        <v>205</v>
      </c>
      <c r="J138" s="561"/>
    </row>
    <row r="139" spans="1:10">
      <c r="A139" s="1143" t="s">
        <v>1961</v>
      </c>
      <c r="B139" s="1143"/>
      <c r="C139" s="1143"/>
      <c r="D139" s="1143" t="s">
        <v>1738</v>
      </c>
      <c r="E139" s="1143"/>
      <c r="F139" s="1143"/>
      <c r="G139" s="560" t="s">
        <v>500</v>
      </c>
      <c r="H139" s="560" t="s">
        <v>172</v>
      </c>
      <c r="I139" s="560" t="s">
        <v>93</v>
      </c>
      <c r="J139" s="561"/>
    </row>
    <row r="140" spans="1:10">
      <c r="A140" s="1143" t="s">
        <v>1946</v>
      </c>
      <c r="B140" s="1143"/>
      <c r="C140" s="1143"/>
      <c r="D140" s="1143" t="s">
        <v>1962</v>
      </c>
      <c r="E140" s="1143"/>
      <c r="F140" s="1143"/>
      <c r="G140" s="560" t="s">
        <v>344</v>
      </c>
      <c r="H140" s="560" t="s">
        <v>491</v>
      </c>
      <c r="I140" s="560" t="s">
        <v>133</v>
      </c>
      <c r="J140" s="561"/>
    </row>
    <row r="141" spans="1:10">
      <c r="A141" s="1143" t="s">
        <v>1948</v>
      </c>
      <c r="B141" s="1143"/>
      <c r="C141" s="1143"/>
      <c r="D141" s="1143" t="s">
        <v>45</v>
      </c>
      <c r="E141" s="1143"/>
      <c r="F141" s="1143"/>
      <c r="G141" s="560" t="s">
        <v>1599</v>
      </c>
      <c r="H141" s="560" t="s">
        <v>318</v>
      </c>
      <c r="I141" s="560" t="s">
        <v>105</v>
      </c>
      <c r="J141" s="561"/>
    </row>
    <row r="142" spans="1:10">
      <c r="A142" s="1143" t="s">
        <v>1949</v>
      </c>
      <c r="B142" s="1143"/>
      <c r="C142" s="1143"/>
      <c r="D142" s="1143" t="s">
        <v>424</v>
      </c>
      <c r="E142" s="1143"/>
      <c r="F142" s="1143"/>
      <c r="G142" s="560" t="s">
        <v>1477</v>
      </c>
      <c r="H142" s="560" t="s">
        <v>1136</v>
      </c>
      <c r="I142" s="560" t="s">
        <v>133</v>
      </c>
      <c r="J142" s="561"/>
    </row>
    <row r="143" spans="1:10">
      <c r="A143" s="1143" t="s">
        <v>1951</v>
      </c>
      <c r="B143" s="1143"/>
      <c r="C143" s="1143"/>
      <c r="D143" s="1143" t="s">
        <v>1963</v>
      </c>
      <c r="E143" s="1143"/>
      <c r="F143" s="1143"/>
      <c r="G143" s="560" t="s">
        <v>1534</v>
      </c>
      <c r="H143" s="560" t="s">
        <v>1210</v>
      </c>
      <c r="I143" s="560" t="s">
        <v>196</v>
      </c>
      <c r="J143" s="561"/>
    </row>
    <row r="144" spans="1:10">
      <c r="A144" s="1143" t="s">
        <v>1955</v>
      </c>
      <c r="B144" s="1143"/>
      <c r="C144" s="1143"/>
      <c r="D144" s="1143" t="s">
        <v>45</v>
      </c>
      <c r="E144" s="1143"/>
      <c r="F144" s="1143"/>
      <c r="G144" s="560" t="s">
        <v>1599</v>
      </c>
      <c r="H144" s="560" t="s">
        <v>1787</v>
      </c>
      <c r="I144" s="560" t="s">
        <v>72</v>
      </c>
      <c r="J144" s="561"/>
    </row>
    <row r="145" spans="1:10">
      <c r="A145" s="1143" t="s">
        <v>493</v>
      </c>
      <c r="B145" s="1143"/>
      <c r="C145" s="1143"/>
      <c r="D145" s="1143" t="s">
        <v>68</v>
      </c>
      <c r="E145" s="1143"/>
      <c r="F145" s="1143"/>
      <c r="G145" s="560" t="s">
        <v>68</v>
      </c>
      <c r="H145" s="560" t="s">
        <v>68</v>
      </c>
      <c r="I145" s="560" t="s">
        <v>68</v>
      </c>
      <c r="J145" s="561"/>
    </row>
    <row r="146" spans="1:10">
      <c r="A146" s="1143" t="s">
        <v>1964</v>
      </c>
      <c r="B146" s="1143"/>
      <c r="C146" s="1143"/>
      <c r="D146" s="1143" t="s">
        <v>1857</v>
      </c>
      <c r="E146" s="1143"/>
      <c r="F146" s="1143"/>
      <c r="G146" s="560" t="s">
        <v>1858</v>
      </c>
      <c r="H146" s="560" t="s">
        <v>1787</v>
      </c>
      <c r="I146" s="560" t="s">
        <v>72</v>
      </c>
      <c r="J146" s="561"/>
    </row>
    <row r="147" spans="1:10">
      <c r="A147" s="1143" t="s">
        <v>1530</v>
      </c>
      <c r="B147" s="1143"/>
      <c r="C147" s="1143"/>
      <c r="D147" s="1143" t="s">
        <v>1675</v>
      </c>
      <c r="E147" s="1143"/>
      <c r="F147" s="1143"/>
      <c r="G147" s="560" t="s">
        <v>1522</v>
      </c>
      <c r="H147" s="560" t="s">
        <v>354</v>
      </c>
      <c r="I147" s="560" t="s">
        <v>270</v>
      </c>
      <c r="J147" s="561"/>
    </row>
    <row r="148" spans="1:10">
      <c r="A148" s="1143" t="s">
        <v>1482</v>
      </c>
      <c r="B148" s="1143"/>
      <c r="C148" s="1143"/>
      <c r="D148" s="1143" t="s">
        <v>1965</v>
      </c>
      <c r="E148" s="1143"/>
      <c r="F148" s="1143"/>
      <c r="G148" s="560" t="s">
        <v>1243</v>
      </c>
      <c r="H148" s="560" t="s">
        <v>1210</v>
      </c>
      <c r="I148" s="560" t="s">
        <v>93</v>
      </c>
      <c r="J148" s="561"/>
    </row>
    <row r="149" spans="1:10">
      <c r="A149" s="1143" t="s">
        <v>1454</v>
      </c>
      <c r="B149" s="1143"/>
      <c r="C149" s="1143"/>
      <c r="D149" s="1143" t="s">
        <v>156</v>
      </c>
      <c r="E149" s="1143"/>
      <c r="F149" s="1143"/>
      <c r="G149" s="560" t="s">
        <v>1966</v>
      </c>
      <c r="H149" s="560" t="s">
        <v>1967</v>
      </c>
      <c r="I149" s="560" t="s">
        <v>513</v>
      </c>
      <c r="J149" s="561"/>
    </row>
    <row r="150" spans="1:10">
      <c r="A150" s="1143" t="s">
        <v>1538</v>
      </c>
      <c r="B150" s="1143"/>
      <c r="C150" s="1143"/>
      <c r="D150" s="1143" t="s">
        <v>1968</v>
      </c>
      <c r="E150" s="1143"/>
      <c r="F150" s="1143"/>
      <c r="G150" s="560" t="s">
        <v>1969</v>
      </c>
      <c r="H150" s="560" t="s">
        <v>1970</v>
      </c>
      <c r="I150" s="560" t="s">
        <v>1490</v>
      </c>
      <c r="J150" s="561"/>
    </row>
    <row r="151" spans="1:10">
      <c r="A151" s="1143" t="s">
        <v>1542</v>
      </c>
      <c r="B151" s="1143"/>
      <c r="C151" s="1143"/>
      <c r="D151" s="1143" t="s">
        <v>1971</v>
      </c>
      <c r="E151" s="1143"/>
      <c r="F151" s="1143"/>
      <c r="G151" s="560" t="s">
        <v>1972</v>
      </c>
      <c r="H151" s="560" t="s">
        <v>293</v>
      </c>
      <c r="I151" s="560" t="s">
        <v>416</v>
      </c>
      <c r="J151" s="561"/>
    </row>
    <row r="152" spans="1:10">
      <c r="A152" s="1143" t="s">
        <v>1461</v>
      </c>
      <c r="B152" s="1143"/>
      <c r="C152" s="1143"/>
      <c r="D152" s="1143" t="s">
        <v>1973</v>
      </c>
      <c r="E152" s="1143"/>
      <c r="F152" s="1143"/>
      <c r="G152" s="560" t="s">
        <v>1089</v>
      </c>
      <c r="H152" s="560" t="s">
        <v>1974</v>
      </c>
      <c r="I152" s="560" t="s">
        <v>458</v>
      </c>
      <c r="J152" s="561"/>
    </row>
    <row r="153" spans="1:10">
      <c r="A153" s="1143" t="s">
        <v>1548</v>
      </c>
      <c r="B153" s="1143"/>
      <c r="C153" s="1143"/>
      <c r="D153" s="1143" t="s">
        <v>1975</v>
      </c>
      <c r="E153" s="1143"/>
      <c r="F153" s="1143"/>
      <c r="G153" s="560" t="s">
        <v>1023</v>
      </c>
      <c r="H153" s="560" t="s">
        <v>1117</v>
      </c>
      <c r="I153" s="560" t="s">
        <v>113</v>
      </c>
      <c r="J153" s="561"/>
    </row>
    <row r="154" spans="1:10">
      <c r="A154" s="1143" t="s">
        <v>1976</v>
      </c>
      <c r="B154" s="1143"/>
      <c r="C154" s="1143"/>
      <c r="D154" s="1143" t="s">
        <v>1977</v>
      </c>
      <c r="E154" s="1143"/>
      <c r="F154" s="1143"/>
      <c r="G154" s="560" t="s">
        <v>1978</v>
      </c>
      <c r="H154" s="560" t="s">
        <v>1787</v>
      </c>
      <c r="I154" s="560" t="s">
        <v>72</v>
      </c>
      <c r="J154" s="561"/>
    </row>
    <row r="155" spans="1:10">
      <c r="A155" s="1143" t="s">
        <v>1442</v>
      </c>
      <c r="B155" s="1143"/>
      <c r="C155" s="1143"/>
      <c r="D155" s="1143" t="s">
        <v>1557</v>
      </c>
      <c r="E155" s="1143"/>
      <c r="F155" s="1143"/>
      <c r="G155" s="560" t="s">
        <v>1229</v>
      </c>
      <c r="H155" s="560" t="s">
        <v>72</v>
      </c>
      <c r="I155" s="560" t="s">
        <v>72</v>
      </c>
      <c r="J155" s="561"/>
    </row>
    <row r="156" spans="1:10">
      <c r="A156" s="1143" t="s">
        <v>1979</v>
      </c>
      <c r="B156" s="1143"/>
      <c r="C156" s="1143"/>
      <c r="D156" s="1143" t="s">
        <v>68</v>
      </c>
      <c r="E156" s="1143"/>
      <c r="F156" s="1143"/>
      <c r="G156" s="560" t="s">
        <v>68</v>
      </c>
      <c r="H156" s="560" t="s">
        <v>68</v>
      </c>
      <c r="I156" s="560" t="s">
        <v>68</v>
      </c>
      <c r="J156" s="561"/>
    </row>
    <row r="157" spans="1:10">
      <c r="A157" s="1143" t="s">
        <v>1964</v>
      </c>
      <c r="B157" s="1143"/>
      <c r="C157" s="1143"/>
      <c r="D157" s="1143" t="s">
        <v>1857</v>
      </c>
      <c r="E157" s="1143"/>
      <c r="F157" s="1143"/>
      <c r="G157" s="560" t="s">
        <v>1858</v>
      </c>
      <c r="H157" s="560" t="s">
        <v>1787</v>
      </c>
      <c r="I157" s="560" t="s">
        <v>72</v>
      </c>
      <c r="J157" s="561"/>
    </row>
    <row r="158" spans="1:10">
      <c r="A158" s="1143" t="s">
        <v>1555</v>
      </c>
      <c r="B158" s="1143"/>
      <c r="C158" s="1143"/>
      <c r="D158" s="1143" t="s">
        <v>1980</v>
      </c>
      <c r="E158" s="1143"/>
      <c r="F158" s="1143"/>
      <c r="G158" s="560" t="s">
        <v>1704</v>
      </c>
      <c r="H158" s="560" t="s">
        <v>400</v>
      </c>
      <c r="I158" s="560" t="s">
        <v>221</v>
      </c>
      <c r="J158" s="561"/>
    </row>
    <row r="159" spans="1:10">
      <c r="A159" s="1143" t="s">
        <v>1520</v>
      </c>
      <c r="B159" s="1143"/>
      <c r="C159" s="1143"/>
      <c r="D159" s="1143" t="s">
        <v>1981</v>
      </c>
      <c r="E159" s="1143"/>
      <c r="F159" s="1143"/>
      <c r="G159" s="560" t="s">
        <v>258</v>
      </c>
      <c r="H159" s="560" t="s">
        <v>1982</v>
      </c>
      <c r="I159" s="560" t="s">
        <v>1302</v>
      </c>
      <c r="J159" s="561"/>
    </row>
    <row r="160" spans="1:10">
      <c r="A160" s="1143" t="s">
        <v>1501</v>
      </c>
      <c r="B160" s="1143"/>
      <c r="C160" s="1143"/>
      <c r="D160" s="1143" t="s">
        <v>1983</v>
      </c>
      <c r="E160" s="1143"/>
      <c r="F160" s="1143"/>
      <c r="G160" s="560" t="s">
        <v>1000</v>
      </c>
      <c r="H160" s="560" t="s">
        <v>195</v>
      </c>
      <c r="I160" s="560" t="s">
        <v>284</v>
      </c>
      <c r="J160" s="561"/>
    </row>
    <row r="161" spans="1:10">
      <c r="A161" s="1143" t="s">
        <v>1505</v>
      </c>
      <c r="B161" s="1143"/>
      <c r="C161" s="1143"/>
      <c r="D161" s="1143" t="s">
        <v>1984</v>
      </c>
      <c r="E161" s="1143"/>
      <c r="F161" s="1143"/>
      <c r="G161" s="560" t="s">
        <v>1589</v>
      </c>
      <c r="H161" s="560" t="s">
        <v>1537</v>
      </c>
      <c r="I161" s="560" t="s">
        <v>113</v>
      </c>
      <c r="J161" s="561"/>
    </row>
    <row r="162" spans="1:10">
      <c r="A162" s="1143" t="s">
        <v>1508</v>
      </c>
      <c r="B162" s="1143"/>
      <c r="C162" s="1143"/>
      <c r="D162" s="1143" t="s">
        <v>1280</v>
      </c>
      <c r="E162" s="1143"/>
      <c r="F162" s="1143"/>
      <c r="G162" s="560" t="s">
        <v>1725</v>
      </c>
      <c r="H162" s="560" t="s">
        <v>1218</v>
      </c>
      <c r="I162" s="560" t="s">
        <v>1302</v>
      </c>
      <c r="J162" s="561"/>
    </row>
    <row r="163" spans="1:10">
      <c r="A163" s="1143" t="s">
        <v>1509</v>
      </c>
      <c r="B163" s="1143"/>
      <c r="C163" s="1143"/>
      <c r="D163" s="1143" t="s">
        <v>1985</v>
      </c>
      <c r="E163" s="1143"/>
      <c r="F163" s="1143"/>
      <c r="G163" s="560" t="s">
        <v>1986</v>
      </c>
      <c r="H163" s="560" t="s">
        <v>1987</v>
      </c>
      <c r="I163" s="560" t="s">
        <v>1212</v>
      </c>
      <c r="J163" s="561"/>
    </row>
    <row r="164" spans="1:10">
      <c r="A164" s="1143" t="s">
        <v>1511</v>
      </c>
      <c r="B164" s="1143"/>
      <c r="C164" s="1143"/>
      <c r="D164" s="1143" t="s">
        <v>1988</v>
      </c>
      <c r="E164" s="1143"/>
      <c r="F164" s="1143"/>
      <c r="G164" s="560" t="s">
        <v>364</v>
      </c>
      <c r="H164" s="560" t="s">
        <v>1787</v>
      </c>
      <c r="I164" s="560" t="s">
        <v>72</v>
      </c>
      <c r="J164" s="561"/>
    </row>
    <row r="165" spans="1:10">
      <c r="A165" s="561" t="s">
        <v>68</v>
      </c>
      <c r="B165" s="1144" t="s">
        <v>1989</v>
      </c>
      <c r="C165" s="1144"/>
      <c r="D165" s="1144"/>
      <c r="E165" s="1144"/>
      <c r="F165" s="561"/>
      <c r="G165" s="561"/>
      <c r="H165" s="561"/>
      <c r="I165" s="561"/>
      <c r="J165" s="561"/>
    </row>
    <row r="166" spans="1:10">
      <c r="A166" s="561"/>
      <c r="B166" s="1144"/>
      <c r="C166" s="1144"/>
      <c r="D166" s="1144"/>
      <c r="E166" s="1144"/>
      <c r="F166" s="561"/>
      <c r="G166" s="561"/>
      <c r="H166" s="561"/>
      <c r="I166" s="561"/>
      <c r="J166" s="561"/>
    </row>
    <row r="167" spans="1:10">
      <c r="A167" s="561" t="s">
        <v>68</v>
      </c>
      <c r="B167" s="1144" t="s">
        <v>1777</v>
      </c>
      <c r="C167" s="1144"/>
      <c r="D167" s="1144"/>
      <c r="E167" s="1144"/>
      <c r="F167" s="561"/>
      <c r="G167" s="561"/>
      <c r="H167" s="561"/>
      <c r="I167" s="561"/>
      <c r="J167" s="561"/>
    </row>
    <row r="168" spans="1:10">
      <c r="A168" s="561"/>
      <c r="B168" s="1144"/>
      <c r="C168" s="1144"/>
      <c r="D168" s="1144"/>
      <c r="E168" s="1144"/>
      <c r="F168" s="561"/>
      <c r="G168" s="561"/>
      <c r="H168" s="561"/>
      <c r="I168" s="561"/>
      <c r="J168" s="561"/>
    </row>
    <row r="169" spans="1:10">
      <c r="A169" s="561" t="s">
        <v>68</v>
      </c>
      <c r="B169" s="1144" t="s">
        <v>1990</v>
      </c>
      <c r="C169" s="1144"/>
      <c r="D169" s="1144"/>
      <c r="E169" s="1144"/>
      <c r="F169" s="561"/>
      <c r="G169" s="561"/>
      <c r="H169" s="561"/>
      <c r="I169" s="561"/>
      <c r="J169" s="561"/>
    </row>
    <row r="170" spans="1:10">
      <c r="A170" s="561"/>
      <c r="B170" s="1144"/>
      <c r="C170" s="1144"/>
      <c r="D170" s="1144"/>
      <c r="E170" s="1144"/>
      <c r="F170" s="561"/>
      <c r="G170" s="561"/>
      <c r="H170" s="561"/>
      <c r="I170" s="561"/>
      <c r="J170" s="561"/>
    </row>
    <row r="171" spans="1:10">
      <c r="A171" s="561" t="s">
        <v>68</v>
      </c>
      <c r="B171" s="1144" t="s">
        <v>1991</v>
      </c>
      <c r="C171" s="1144"/>
      <c r="D171" s="1144"/>
      <c r="E171" s="1144"/>
      <c r="F171" s="561"/>
      <c r="G171" s="561"/>
      <c r="H171" s="561"/>
      <c r="I171" s="561"/>
      <c r="J171" s="561"/>
    </row>
    <row r="172" spans="1:10">
      <c r="A172" s="561"/>
      <c r="B172" s="1144"/>
      <c r="C172" s="1144"/>
      <c r="D172" s="1144"/>
      <c r="E172" s="1144"/>
      <c r="F172" s="561"/>
      <c r="G172" s="561"/>
      <c r="H172" s="561"/>
      <c r="I172" s="561"/>
      <c r="J172" s="561"/>
    </row>
    <row r="173" spans="1:10">
      <c r="A173" s="561" t="s">
        <v>68</v>
      </c>
      <c r="B173" s="1144" t="s">
        <v>1780</v>
      </c>
      <c r="C173" s="1144"/>
      <c r="D173" s="1144"/>
      <c r="E173" s="1144"/>
      <c r="F173" s="561"/>
      <c r="G173" s="561"/>
      <c r="H173" s="561"/>
      <c r="I173" s="561"/>
      <c r="J173" s="561"/>
    </row>
    <row r="174" spans="1:10">
      <c r="A174" s="561"/>
      <c r="B174" s="1144"/>
      <c r="C174" s="1144"/>
      <c r="D174" s="1144"/>
      <c r="E174" s="1144"/>
      <c r="F174" s="561"/>
      <c r="G174" s="561"/>
      <c r="H174" s="561"/>
      <c r="I174" s="561"/>
      <c r="J174" s="561"/>
    </row>
    <row r="175" spans="1:10">
      <c r="A175" s="561" t="s">
        <v>68</v>
      </c>
      <c r="B175" s="1144" t="s">
        <v>1781</v>
      </c>
      <c r="C175" s="1144"/>
      <c r="D175" s="1144"/>
      <c r="E175" s="1144"/>
      <c r="F175" s="561"/>
      <c r="G175" s="561"/>
      <c r="H175" s="561"/>
      <c r="I175" s="561"/>
      <c r="J175" s="561"/>
    </row>
    <row r="176" spans="1:10">
      <c r="A176" s="561"/>
      <c r="B176" s="1144"/>
      <c r="C176" s="1144"/>
      <c r="D176" s="1144"/>
      <c r="E176" s="1144"/>
      <c r="F176" s="561"/>
      <c r="G176" s="561"/>
      <c r="H176" s="561"/>
      <c r="I176" s="561"/>
      <c r="J176" s="561"/>
    </row>
    <row r="177" spans="1:10">
      <c r="A177" s="561" t="s">
        <v>68</v>
      </c>
      <c r="B177" s="1144" t="s">
        <v>1992</v>
      </c>
      <c r="C177" s="1144"/>
      <c r="D177" s="1144"/>
      <c r="E177" s="1144"/>
      <c r="F177" s="561"/>
      <c r="G177" s="561"/>
      <c r="H177" s="561"/>
      <c r="I177" s="561"/>
      <c r="J177" s="561"/>
    </row>
    <row r="178" spans="1:10">
      <c r="A178" s="561"/>
      <c r="B178" s="1144"/>
      <c r="C178" s="1144"/>
      <c r="D178" s="1144"/>
      <c r="E178" s="1144"/>
      <c r="F178" s="561"/>
      <c r="G178" s="561"/>
      <c r="H178" s="561"/>
      <c r="I178" s="561"/>
      <c r="J178" s="561"/>
    </row>
  </sheetData>
  <mergeCells count="326">
    <mergeCell ref="H7:I7"/>
    <mergeCell ref="D8:F8"/>
    <mergeCell ref="A9:C9"/>
    <mergeCell ref="D9:F9"/>
    <mergeCell ref="A10:C10"/>
    <mergeCell ref="D10:F10"/>
    <mergeCell ref="A11:C11"/>
    <mergeCell ref="D11:F11"/>
    <mergeCell ref="A3:D3"/>
    <mergeCell ref="A4:D4"/>
    <mergeCell ref="B5:E6"/>
    <mergeCell ref="A7:C7"/>
    <mergeCell ref="D7:G7"/>
    <mergeCell ref="A15:C15"/>
    <mergeCell ref="D15:F15"/>
    <mergeCell ref="A16:C16"/>
    <mergeCell ref="D16:F16"/>
    <mergeCell ref="A17:C17"/>
    <mergeCell ref="D17:F17"/>
    <mergeCell ref="A12:C12"/>
    <mergeCell ref="D12:F12"/>
    <mergeCell ref="A13:C13"/>
    <mergeCell ref="D13:F13"/>
    <mergeCell ref="A14:C14"/>
    <mergeCell ref="D14:F14"/>
    <mergeCell ref="A21:C21"/>
    <mergeCell ref="D21:F21"/>
    <mergeCell ref="A22:C22"/>
    <mergeCell ref="D22:F22"/>
    <mergeCell ref="A23:C23"/>
    <mergeCell ref="D23:F23"/>
    <mergeCell ref="A18:C18"/>
    <mergeCell ref="D18:F18"/>
    <mergeCell ref="A19:C19"/>
    <mergeCell ref="D19:F19"/>
    <mergeCell ref="A20:C20"/>
    <mergeCell ref="D20:F20"/>
    <mergeCell ref="A27:C27"/>
    <mergeCell ref="D27:F27"/>
    <mergeCell ref="A28:C28"/>
    <mergeCell ref="D28:F28"/>
    <mergeCell ref="A29:C29"/>
    <mergeCell ref="D29:F29"/>
    <mergeCell ref="A24:C24"/>
    <mergeCell ref="D24:F24"/>
    <mergeCell ref="A25:C25"/>
    <mergeCell ref="D25:F25"/>
    <mergeCell ref="A26:C26"/>
    <mergeCell ref="D26:F26"/>
    <mergeCell ref="A33:C33"/>
    <mergeCell ref="D33:F33"/>
    <mergeCell ref="A34:C34"/>
    <mergeCell ref="D34:F34"/>
    <mergeCell ref="A35:C35"/>
    <mergeCell ref="D35:F35"/>
    <mergeCell ref="A30:C30"/>
    <mergeCell ref="D30:F30"/>
    <mergeCell ref="A31:C31"/>
    <mergeCell ref="D31:F31"/>
    <mergeCell ref="A32:C32"/>
    <mergeCell ref="D32:F32"/>
    <mergeCell ref="A39:C39"/>
    <mergeCell ref="D39:F39"/>
    <mergeCell ref="A40:C40"/>
    <mergeCell ref="D40:F40"/>
    <mergeCell ref="A41:C41"/>
    <mergeCell ref="D41:F41"/>
    <mergeCell ref="A36:C36"/>
    <mergeCell ref="D36:F36"/>
    <mergeCell ref="A37:C37"/>
    <mergeCell ref="D37:F37"/>
    <mergeCell ref="A38:C38"/>
    <mergeCell ref="D38:F38"/>
    <mergeCell ref="A45:C45"/>
    <mergeCell ref="D45:F45"/>
    <mergeCell ref="A46:C46"/>
    <mergeCell ref="D46:F46"/>
    <mergeCell ref="A47:C47"/>
    <mergeCell ref="D47:F47"/>
    <mergeCell ref="A42:C42"/>
    <mergeCell ref="D42:F42"/>
    <mergeCell ref="A43:C43"/>
    <mergeCell ref="D43:F43"/>
    <mergeCell ref="A44:C44"/>
    <mergeCell ref="D44:F44"/>
    <mergeCell ref="A51:C51"/>
    <mergeCell ref="D51:F51"/>
    <mergeCell ref="A52:C52"/>
    <mergeCell ref="D52:F52"/>
    <mergeCell ref="A53:C53"/>
    <mergeCell ref="D53:F53"/>
    <mergeCell ref="A48:C48"/>
    <mergeCell ref="D48:F48"/>
    <mergeCell ref="A49:C49"/>
    <mergeCell ref="D49:F49"/>
    <mergeCell ref="A50:C50"/>
    <mergeCell ref="D50:F50"/>
    <mergeCell ref="A57:C57"/>
    <mergeCell ref="D57:F57"/>
    <mergeCell ref="A58:C58"/>
    <mergeCell ref="D58:F58"/>
    <mergeCell ref="A59:C59"/>
    <mergeCell ref="D59:F59"/>
    <mergeCell ref="A54:C54"/>
    <mergeCell ref="D54:F54"/>
    <mergeCell ref="A55:C55"/>
    <mergeCell ref="D55:F55"/>
    <mergeCell ref="A56:C56"/>
    <mergeCell ref="D56:F56"/>
    <mergeCell ref="A63:C63"/>
    <mergeCell ref="D63:F63"/>
    <mergeCell ref="A64:C64"/>
    <mergeCell ref="D64:F64"/>
    <mergeCell ref="A65:C65"/>
    <mergeCell ref="D65:F65"/>
    <mergeCell ref="A60:C60"/>
    <mergeCell ref="D60:F60"/>
    <mergeCell ref="A61:C61"/>
    <mergeCell ref="D61:F61"/>
    <mergeCell ref="A62:C62"/>
    <mergeCell ref="D62:F62"/>
    <mergeCell ref="A69:C69"/>
    <mergeCell ref="D69:F69"/>
    <mergeCell ref="A70:C70"/>
    <mergeCell ref="D70:F70"/>
    <mergeCell ref="A71:C71"/>
    <mergeCell ref="D71:F71"/>
    <mergeCell ref="A66:C66"/>
    <mergeCell ref="D66:F66"/>
    <mergeCell ref="A67:C67"/>
    <mergeCell ref="D67:F67"/>
    <mergeCell ref="A68:C68"/>
    <mergeCell ref="D68:F68"/>
    <mergeCell ref="A75:C75"/>
    <mergeCell ref="D75:F75"/>
    <mergeCell ref="A76:C76"/>
    <mergeCell ref="D76:F76"/>
    <mergeCell ref="A77:C77"/>
    <mergeCell ref="D77:F77"/>
    <mergeCell ref="A72:C72"/>
    <mergeCell ref="D72:F72"/>
    <mergeCell ref="A73:C73"/>
    <mergeCell ref="D73:F73"/>
    <mergeCell ref="A74:C74"/>
    <mergeCell ref="D74:F74"/>
    <mergeCell ref="A81:C81"/>
    <mergeCell ref="D81:F81"/>
    <mergeCell ref="A82:C82"/>
    <mergeCell ref="D82:F82"/>
    <mergeCell ref="A83:C83"/>
    <mergeCell ref="D83:F83"/>
    <mergeCell ref="A78:C78"/>
    <mergeCell ref="D78:F78"/>
    <mergeCell ref="A79:C79"/>
    <mergeCell ref="D79:F79"/>
    <mergeCell ref="A80:C80"/>
    <mergeCell ref="D80:F80"/>
    <mergeCell ref="A87:C87"/>
    <mergeCell ref="D87:F87"/>
    <mergeCell ref="A88:C88"/>
    <mergeCell ref="D88:F88"/>
    <mergeCell ref="A89:C89"/>
    <mergeCell ref="D89:F89"/>
    <mergeCell ref="A84:C84"/>
    <mergeCell ref="D84:F84"/>
    <mergeCell ref="A85:C85"/>
    <mergeCell ref="D85:F85"/>
    <mergeCell ref="A86:C86"/>
    <mergeCell ref="D86:F86"/>
    <mergeCell ref="A93:C93"/>
    <mergeCell ref="D93:F93"/>
    <mergeCell ref="A94:C94"/>
    <mergeCell ref="D94:F94"/>
    <mergeCell ref="A95:C95"/>
    <mergeCell ref="D95:F95"/>
    <mergeCell ref="A90:C90"/>
    <mergeCell ref="D90:F90"/>
    <mergeCell ref="A91:C91"/>
    <mergeCell ref="D91:F91"/>
    <mergeCell ref="A92:C92"/>
    <mergeCell ref="D92:F92"/>
    <mergeCell ref="A99:C99"/>
    <mergeCell ref="D99:F99"/>
    <mergeCell ref="A100:C100"/>
    <mergeCell ref="D100:F100"/>
    <mergeCell ref="A101:C101"/>
    <mergeCell ref="D101:F101"/>
    <mergeCell ref="A96:C96"/>
    <mergeCell ref="D96:F96"/>
    <mergeCell ref="A97:C97"/>
    <mergeCell ref="D97:F97"/>
    <mergeCell ref="A98:C98"/>
    <mergeCell ref="D98:F98"/>
    <mergeCell ref="A105:C105"/>
    <mergeCell ref="D105:F105"/>
    <mergeCell ref="A106:C106"/>
    <mergeCell ref="D106:F106"/>
    <mergeCell ref="A107:C107"/>
    <mergeCell ref="D107:F107"/>
    <mergeCell ref="A102:C102"/>
    <mergeCell ref="D102:F102"/>
    <mergeCell ref="A103:C103"/>
    <mergeCell ref="D103:F103"/>
    <mergeCell ref="A104:C104"/>
    <mergeCell ref="D104:F104"/>
    <mergeCell ref="A111:C111"/>
    <mergeCell ref="D111:F111"/>
    <mergeCell ref="A112:C112"/>
    <mergeCell ref="D112:F112"/>
    <mergeCell ref="A113:C113"/>
    <mergeCell ref="D113:F113"/>
    <mergeCell ref="A108:C108"/>
    <mergeCell ref="D108:F108"/>
    <mergeCell ref="A109:C109"/>
    <mergeCell ref="D109:F109"/>
    <mergeCell ref="A110:C110"/>
    <mergeCell ref="D110:F110"/>
    <mergeCell ref="A117:C117"/>
    <mergeCell ref="D117:F117"/>
    <mergeCell ref="A118:C118"/>
    <mergeCell ref="D118:F118"/>
    <mergeCell ref="A119:C119"/>
    <mergeCell ref="D119:F119"/>
    <mergeCell ref="A114:C114"/>
    <mergeCell ref="D114:F114"/>
    <mergeCell ref="A115:C115"/>
    <mergeCell ref="D115:F115"/>
    <mergeCell ref="A116:C116"/>
    <mergeCell ref="D116:F116"/>
    <mergeCell ref="A123:C123"/>
    <mergeCell ref="D123:F123"/>
    <mergeCell ref="A124:C124"/>
    <mergeCell ref="D124:F124"/>
    <mergeCell ref="A125:C125"/>
    <mergeCell ref="D125:F125"/>
    <mergeCell ref="A120:C120"/>
    <mergeCell ref="D120:F120"/>
    <mergeCell ref="A121:C121"/>
    <mergeCell ref="D121:F121"/>
    <mergeCell ref="A122:C122"/>
    <mergeCell ref="D122:F122"/>
    <mergeCell ref="A129:C129"/>
    <mergeCell ref="D129:F129"/>
    <mergeCell ref="A130:C130"/>
    <mergeCell ref="D130:F130"/>
    <mergeCell ref="A131:C131"/>
    <mergeCell ref="D131:F131"/>
    <mergeCell ref="A126:C126"/>
    <mergeCell ref="D126:F126"/>
    <mergeCell ref="A127:C127"/>
    <mergeCell ref="D127:F127"/>
    <mergeCell ref="A128:C128"/>
    <mergeCell ref="D128:F128"/>
    <mergeCell ref="A135:C135"/>
    <mergeCell ref="D135:F135"/>
    <mergeCell ref="A136:C136"/>
    <mergeCell ref="D136:F136"/>
    <mergeCell ref="A137:C137"/>
    <mergeCell ref="D137:F137"/>
    <mergeCell ref="A132:C132"/>
    <mergeCell ref="D132:F132"/>
    <mergeCell ref="A133:C133"/>
    <mergeCell ref="D133:F133"/>
    <mergeCell ref="A134:C134"/>
    <mergeCell ref="D134:F134"/>
    <mergeCell ref="A141:C141"/>
    <mergeCell ref="D141:F141"/>
    <mergeCell ref="A142:C142"/>
    <mergeCell ref="D142:F142"/>
    <mergeCell ref="A143:C143"/>
    <mergeCell ref="D143:F143"/>
    <mergeCell ref="A138:C138"/>
    <mergeCell ref="D138:F138"/>
    <mergeCell ref="A139:C139"/>
    <mergeCell ref="D139:F139"/>
    <mergeCell ref="A140:C140"/>
    <mergeCell ref="D140:F140"/>
    <mergeCell ref="A147:C147"/>
    <mergeCell ref="D147:F147"/>
    <mergeCell ref="A148:C148"/>
    <mergeCell ref="D148:F148"/>
    <mergeCell ref="A149:C149"/>
    <mergeCell ref="D149:F149"/>
    <mergeCell ref="A144:C144"/>
    <mergeCell ref="D144:F144"/>
    <mergeCell ref="A145:C145"/>
    <mergeCell ref="D145:F145"/>
    <mergeCell ref="A146:C146"/>
    <mergeCell ref="D146:F146"/>
    <mergeCell ref="A153:C153"/>
    <mergeCell ref="D153:F153"/>
    <mergeCell ref="A154:C154"/>
    <mergeCell ref="D154:F154"/>
    <mergeCell ref="A155:C155"/>
    <mergeCell ref="D155:F155"/>
    <mergeCell ref="A150:C150"/>
    <mergeCell ref="D150:F150"/>
    <mergeCell ref="A151:C151"/>
    <mergeCell ref="D151:F151"/>
    <mergeCell ref="A152:C152"/>
    <mergeCell ref="D152:F152"/>
    <mergeCell ref="A159:C159"/>
    <mergeCell ref="D159:F159"/>
    <mergeCell ref="A160:C160"/>
    <mergeCell ref="D160:F160"/>
    <mergeCell ref="A161:C161"/>
    <mergeCell ref="D161:F161"/>
    <mergeCell ref="A156:C156"/>
    <mergeCell ref="D156:F156"/>
    <mergeCell ref="A157:C157"/>
    <mergeCell ref="D157:F157"/>
    <mergeCell ref="A158:C158"/>
    <mergeCell ref="D158:F158"/>
    <mergeCell ref="B177:E178"/>
    <mergeCell ref="B165:E166"/>
    <mergeCell ref="B167:E168"/>
    <mergeCell ref="B169:E170"/>
    <mergeCell ref="B171:E172"/>
    <mergeCell ref="B173:E174"/>
    <mergeCell ref="B175:E176"/>
    <mergeCell ref="A162:C162"/>
    <mergeCell ref="D162:F162"/>
    <mergeCell ref="A163:C163"/>
    <mergeCell ref="D163:F163"/>
    <mergeCell ref="A164:C164"/>
    <mergeCell ref="D164:F164"/>
  </mergeCells>
  <pageMargins left="0.7" right="0.7" top="0.75" bottom="0.75" header="0.3" footer="0.3"/>
</worksheet>
</file>

<file path=xl/worksheets/sheet29.xml><?xml version="1.0" encoding="utf-8"?>
<worksheet xmlns="http://schemas.openxmlformats.org/spreadsheetml/2006/main" xmlns:r="http://schemas.openxmlformats.org/officeDocument/2006/relationships">
  <dimension ref="A1:O89"/>
  <sheetViews>
    <sheetView workbookViewId="0">
      <selection activeCell="E29" sqref="E29"/>
    </sheetView>
  </sheetViews>
  <sheetFormatPr defaultRowHeight="15"/>
  <cols>
    <col min="1" max="1" width="20.7109375" customWidth="1"/>
    <col min="2" max="6" width="14.140625" bestFit="1" customWidth="1"/>
  </cols>
  <sheetData>
    <row r="1" spans="1:15">
      <c r="A1" s="903" t="s">
        <v>52</v>
      </c>
      <c r="B1" s="902" t="s">
        <v>2259</v>
      </c>
      <c r="C1" s="12"/>
      <c r="D1" s="12"/>
      <c r="E1" s="12"/>
      <c r="F1" s="12"/>
      <c r="G1" s="12"/>
    </row>
    <row r="2" spans="1:15" s="697" customFormat="1">
      <c r="A2" s="904"/>
      <c r="B2" s="905"/>
      <c r="C2" s="12"/>
      <c r="D2" s="12"/>
      <c r="E2" s="12"/>
      <c r="F2" s="12"/>
      <c r="G2" s="12"/>
    </row>
    <row r="3" spans="1:15">
      <c r="A3" s="21" t="s">
        <v>564</v>
      </c>
      <c r="B3" s="22"/>
      <c r="C3" s="23"/>
      <c r="D3" s="23"/>
      <c r="E3" s="23"/>
      <c r="F3" s="23"/>
      <c r="G3" s="23"/>
      <c r="H3" s="23"/>
      <c r="I3" s="23"/>
      <c r="J3" s="23"/>
      <c r="K3" s="23"/>
      <c r="L3" s="23"/>
      <c r="M3" s="23"/>
      <c r="N3" s="23"/>
      <c r="O3" s="23"/>
    </row>
    <row r="4" spans="1:15">
      <c r="A4" s="21" t="s">
        <v>565</v>
      </c>
      <c r="B4" s="24"/>
      <c r="C4" s="24"/>
      <c r="D4" s="24"/>
      <c r="E4" s="24"/>
      <c r="F4" s="24"/>
      <c r="G4" s="24"/>
      <c r="H4" s="24"/>
      <c r="I4" s="24"/>
      <c r="J4" s="24"/>
      <c r="K4" s="24"/>
      <c r="L4" s="24"/>
      <c r="M4" s="24"/>
      <c r="N4" s="24"/>
      <c r="O4" s="24"/>
    </row>
    <row r="5" spans="1:15" ht="15.75">
      <c r="A5" s="25" t="s">
        <v>566</v>
      </c>
      <c r="B5" s="25"/>
      <c r="C5" s="25"/>
      <c r="D5" s="25"/>
      <c r="E5" s="25"/>
      <c r="F5" s="25"/>
      <c r="G5" s="25"/>
      <c r="H5" s="25"/>
      <c r="I5" s="25"/>
      <c r="J5" s="25"/>
      <c r="K5" s="25"/>
      <c r="L5" s="25"/>
      <c r="M5" s="25"/>
      <c r="N5" s="25"/>
      <c r="O5" s="25"/>
    </row>
    <row r="6" spans="1:15">
      <c r="A6" s="26" t="s">
        <v>567</v>
      </c>
      <c r="B6" s="26"/>
      <c r="C6" s="26"/>
      <c r="D6" s="26"/>
      <c r="E6" s="26"/>
      <c r="F6" s="26"/>
      <c r="G6" s="26"/>
      <c r="H6" s="26"/>
      <c r="I6" s="26"/>
      <c r="J6" s="26"/>
      <c r="K6" s="26"/>
      <c r="L6" s="26"/>
      <c r="M6" s="26"/>
      <c r="N6" s="26"/>
      <c r="O6" s="26"/>
    </row>
    <row r="7" spans="1:15">
      <c r="A7" s="27"/>
      <c r="B7" s="28"/>
      <c r="C7" s="1150" t="s">
        <v>568</v>
      </c>
      <c r="D7" s="1151"/>
      <c r="E7" s="1151"/>
      <c r="F7" s="1151"/>
      <c r="G7" s="1151"/>
      <c r="H7" s="1151"/>
      <c r="I7" s="1151"/>
      <c r="J7" s="1151"/>
      <c r="K7" s="1151"/>
      <c r="L7" s="1151"/>
      <c r="M7" s="1151"/>
      <c r="N7" s="1151"/>
      <c r="O7" s="1151"/>
    </row>
    <row r="8" spans="1:15">
      <c r="A8" s="29"/>
      <c r="B8" s="30"/>
      <c r="C8" s="1152"/>
      <c r="D8" s="1153"/>
      <c r="E8" s="1153"/>
      <c r="F8" s="1153"/>
      <c r="G8" s="1153"/>
      <c r="H8" s="1153"/>
      <c r="I8" s="1153"/>
      <c r="J8" s="1153"/>
      <c r="K8" s="1153"/>
      <c r="L8" s="1153"/>
      <c r="M8" s="1153"/>
      <c r="N8" s="1153"/>
      <c r="O8" s="1153"/>
    </row>
    <row r="9" spans="1:15">
      <c r="A9" s="29"/>
      <c r="B9" s="31"/>
      <c r="C9" s="32"/>
      <c r="D9" s="1154" t="s">
        <v>569</v>
      </c>
      <c r="E9" s="1155"/>
      <c r="F9" s="1155"/>
      <c r="G9" s="1155"/>
      <c r="H9" s="1155"/>
      <c r="I9" s="1156"/>
      <c r="J9" s="1160" t="s">
        <v>570</v>
      </c>
      <c r="K9" s="1161"/>
      <c r="L9" s="1162"/>
      <c r="M9" s="1161" t="s">
        <v>571</v>
      </c>
      <c r="N9" s="1161"/>
      <c r="O9" s="1161"/>
    </row>
    <row r="10" spans="1:15">
      <c r="A10" s="33"/>
      <c r="B10" s="32"/>
      <c r="C10" s="30"/>
      <c r="D10" s="1157"/>
      <c r="E10" s="1158"/>
      <c r="F10" s="1158"/>
      <c r="G10" s="1158"/>
      <c r="H10" s="1158"/>
      <c r="I10" s="1159"/>
      <c r="J10" s="1157"/>
      <c r="K10" s="1158"/>
      <c r="L10" s="1159"/>
      <c r="M10" s="1158"/>
      <c r="N10" s="1158"/>
      <c r="O10" s="1158"/>
    </row>
    <row r="11" spans="1:15">
      <c r="A11" s="29"/>
      <c r="B11" s="30"/>
      <c r="C11" s="30"/>
      <c r="D11" s="28"/>
      <c r="E11" s="28"/>
      <c r="F11" s="28"/>
      <c r="G11" s="28"/>
      <c r="H11" s="28"/>
      <c r="I11" s="28"/>
      <c r="J11" s="1163" t="s">
        <v>572</v>
      </c>
      <c r="K11" s="28"/>
      <c r="L11" s="28"/>
      <c r="M11" s="1163" t="s">
        <v>573</v>
      </c>
      <c r="N11" s="34"/>
      <c r="O11" s="35"/>
    </row>
    <row r="12" spans="1:15">
      <c r="A12" s="29"/>
      <c r="B12" s="1167" t="s">
        <v>574</v>
      </c>
      <c r="C12" s="32"/>
      <c r="D12" s="1164" t="s">
        <v>575</v>
      </c>
      <c r="E12" s="30"/>
      <c r="F12" s="30"/>
      <c r="G12" s="30"/>
      <c r="H12" s="32"/>
      <c r="I12" s="24"/>
      <c r="J12" s="1164"/>
      <c r="K12" s="30"/>
      <c r="L12" s="30"/>
      <c r="M12" s="1164"/>
      <c r="N12" s="36"/>
      <c r="O12" s="35"/>
    </row>
    <row r="13" spans="1:15">
      <c r="B13" s="1167"/>
      <c r="C13" s="1167" t="s">
        <v>576</v>
      </c>
      <c r="D13" s="1164"/>
      <c r="E13" s="37"/>
      <c r="F13" s="37"/>
      <c r="G13" s="37"/>
      <c r="H13" s="1167" t="s">
        <v>577</v>
      </c>
      <c r="I13" s="30"/>
      <c r="J13" s="1164"/>
      <c r="K13" s="37"/>
      <c r="L13" s="1167" t="s">
        <v>578</v>
      </c>
      <c r="M13" s="1164"/>
      <c r="N13" s="37"/>
      <c r="O13" s="1155" t="s">
        <v>579</v>
      </c>
    </row>
    <row r="14" spans="1:15" ht="23.25" thickBot="1">
      <c r="A14" s="38" t="s">
        <v>580</v>
      </c>
      <c r="B14" s="1168"/>
      <c r="C14" s="1168"/>
      <c r="D14" s="1165"/>
      <c r="E14" s="39" t="s">
        <v>42</v>
      </c>
      <c r="F14" s="39" t="s">
        <v>581</v>
      </c>
      <c r="G14" s="39" t="s">
        <v>582</v>
      </c>
      <c r="H14" s="1168"/>
      <c r="I14" s="39" t="s">
        <v>583</v>
      </c>
      <c r="J14" s="1165"/>
      <c r="K14" s="39" t="s">
        <v>584</v>
      </c>
      <c r="L14" s="1168"/>
      <c r="M14" s="1165"/>
      <c r="N14" s="39" t="s">
        <v>585</v>
      </c>
      <c r="O14" s="1169"/>
    </row>
    <row r="15" spans="1:15" ht="15.75" thickTop="1">
      <c r="B15" s="24"/>
      <c r="C15" s="24"/>
      <c r="D15" s="24"/>
      <c r="E15" s="24"/>
      <c r="F15" s="24"/>
      <c r="G15" s="24"/>
      <c r="H15" s="24"/>
      <c r="I15" s="24"/>
      <c r="J15" s="24"/>
      <c r="K15" s="24"/>
      <c r="L15" s="24"/>
      <c r="M15" s="24"/>
      <c r="N15" s="24"/>
      <c r="O15" s="24"/>
    </row>
    <row r="16" spans="1:15">
      <c r="A16" s="40" t="s">
        <v>586</v>
      </c>
      <c r="B16" s="41">
        <v>113.6</v>
      </c>
      <c r="C16" s="41">
        <v>42.1</v>
      </c>
      <c r="D16" s="41">
        <v>22.2</v>
      </c>
      <c r="E16" s="41">
        <v>3</v>
      </c>
      <c r="F16" s="41">
        <v>3.5</v>
      </c>
      <c r="G16" s="41">
        <v>7</v>
      </c>
      <c r="H16" s="41">
        <v>3.4</v>
      </c>
      <c r="I16" s="41">
        <v>5.4</v>
      </c>
      <c r="J16" s="41">
        <v>7.1</v>
      </c>
      <c r="K16" s="41">
        <v>2.4</v>
      </c>
      <c r="L16" s="41">
        <v>4.5999999999999996</v>
      </c>
      <c r="M16" s="41">
        <v>12.8</v>
      </c>
      <c r="N16" s="41">
        <v>8.5</v>
      </c>
      <c r="O16" s="41">
        <v>4.2</v>
      </c>
    </row>
    <row r="17" spans="1:15">
      <c r="B17" s="41"/>
      <c r="C17" s="41"/>
      <c r="D17" s="41"/>
      <c r="E17" s="41"/>
      <c r="F17" s="41"/>
      <c r="G17" s="41"/>
      <c r="H17" s="41"/>
      <c r="I17" s="41"/>
      <c r="J17" s="41"/>
      <c r="K17" s="41"/>
      <c r="L17" s="41"/>
      <c r="M17" s="41"/>
      <c r="N17" s="41"/>
      <c r="O17" s="41"/>
    </row>
    <row r="18" spans="1:15">
      <c r="A18" s="42" t="s">
        <v>587</v>
      </c>
      <c r="B18" s="41"/>
      <c r="C18" s="41"/>
      <c r="D18" s="41"/>
      <c r="E18" s="41"/>
      <c r="F18" s="41"/>
      <c r="G18" s="41"/>
      <c r="H18" s="41"/>
      <c r="I18" s="41"/>
      <c r="J18" s="41"/>
      <c r="K18" s="41"/>
      <c r="L18" s="41"/>
      <c r="M18" s="41"/>
      <c r="N18" s="41"/>
      <c r="O18" s="41"/>
    </row>
    <row r="19" spans="1:15">
      <c r="A19" s="43" t="s">
        <v>588</v>
      </c>
      <c r="B19" s="41">
        <v>113.6</v>
      </c>
      <c r="C19" s="41">
        <v>42.1</v>
      </c>
      <c r="D19" s="41">
        <v>22.2</v>
      </c>
      <c r="E19" s="41">
        <v>3</v>
      </c>
      <c r="F19" s="41">
        <v>3.5</v>
      </c>
      <c r="G19" s="41">
        <v>7</v>
      </c>
      <c r="H19" s="41">
        <v>3.4</v>
      </c>
      <c r="I19" s="41">
        <v>5.4</v>
      </c>
      <c r="J19" s="41">
        <v>7.1</v>
      </c>
      <c r="K19" s="41">
        <v>2.4</v>
      </c>
      <c r="L19" s="41">
        <v>4.5999999999999996</v>
      </c>
      <c r="M19" s="41">
        <v>12.8</v>
      </c>
      <c r="N19" s="41">
        <v>8.5</v>
      </c>
      <c r="O19" s="41">
        <v>4.2</v>
      </c>
    </row>
    <row r="20" spans="1:15">
      <c r="A20" s="43" t="s">
        <v>2</v>
      </c>
      <c r="B20" s="41">
        <v>69.2</v>
      </c>
      <c r="C20" s="41">
        <v>17.7</v>
      </c>
      <c r="D20" s="41">
        <v>7.8</v>
      </c>
      <c r="E20" s="41">
        <v>1.3</v>
      </c>
      <c r="F20" s="41">
        <v>2</v>
      </c>
      <c r="G20" s="41">
        <v>1</v>
      </c>
      <c r="H20" s="41">
        <v>1.6</v>
      </c>
      <c r="I20" s="41">
        <v>1.8</v>
      </c>
      <c r="J20" s="41">
        <v>2.8</v>
      </c>
      <c r="K20" s="41">
        <v>1</v>
      </c>
      <c r="L20" s="41">
        <v>1.8</v>
      </c>
      <c r="M20" s="41">
        <v>7.1</v>
      </c>
      <c r="N20" s="41">
        <v>5</v>
      </c>
      <c r="O20" s="41">
        <v>2.1</v>
      </c>
    </row>
    <row r="21" spans="1:15">
      <c r="A21" s="51" t="s">
        <v>589</v>
      </c>
      <c r="B21" s="41">
        <v>48.9</v>
      </c>
      <c r="C21" s="41">
        <v>16.5</v>
      </c>
      <c r="D21" s="41">
        <v>9.3000000000000007</v>
      </c>
      <c r="E21" s="52">
        <v>1.5</v>
      </c>
      <c r="F21" s="41">
        <v>1</v>
      </c>
      <c r="G21" s="41">
        <v>2.8</v>
      </c>
      <c r="H21" s="41">
        <v>1.7</v>
      </c>
      <c r="I21" s="41">
        <v>2.2999999999999998</v>
      </c>
      <c r="J21" s="41">
        <v>3.1</v>
      </c>
      <c r="K21" s="41">
        <v>0.9</v>
      </c>
      <c r="L21" s="41">
        <v>2.2000000000000002</v>
      </c>
      <c r="M21" s="41">
        <v>4</v>
      </c>
      <c r="N21" s="41">
        <v>2.5</v>
      </c>
      <c r="O21" s="41">
        <v>1.5</v>
      </c>
    </row>
    <row r="22" spans="1:15">
      <c r="A22" s="51" t="s">
        <v>590</v>
      </c>
      <c r="B22" s="41">
        <v>13.1</v>
      </c>
      <c r="C22" s="41">
        <v>4</v>
      </c>
      <c r="D22" s="41">
        <v>2.2999999999999998</v>
      </c>
      <c r="E22" s="52">
        <v>0.4</v>
      </c>
      <c r="F22" s="41">
        <v>0.6</v>
      </c>
      <c r="G22" s="41">
        <v>0.4</v>
      </c>
      <c r="H22" s="41">
        <v>0.5</v>
      </c>
      <c r="I22" s="41">
        <v>0.4</v>
      </c>
      <c r="J22" s="41">
        <v>0.6</v>
      </c>
      <c r="K22" s="41">
        <v>0.1</v>
      </c>
      <c r="L22" s="41">
        <v>0.5</v>
      </c>
      <c r="M22" s="41">
        <v>1.1000000000000001</v>
      </c>
      <c r="N22" s="41">
        <v>0.6</v>
      </c>
      <c r="O22" s="41">
        <v>0.5</v>
      </c>
    </row>
    <row r="23" spans="1:15">
      <c r="A23" s="51" t="s">
        <v>591</v>
      </c>
      <c r="B23" s="41">
        <v>7.7</v>
      </c>
      <c r="C23" s="41">
        <v>0.7</v>
      </c>
      <c r="D23" s="41">
        <v>0.7</v>
      </c>
      <c r="E23" s="52">
        <v>0.1</v>
      </c>
      <c r="F23" s="41" t="s">
        <v>592</v>
      </c>
      <c r="G23" s="41" t="s">
        <v>592</v>
      </c>
      <c r="H23" s="41">
        <v>0.4</v>
      </c>
      <c r="I23" s="41" t="s">
        <v>592</v>
      </c>
      <c r="J23" s="41" t="s">
        <v>593</v>
      </c>
      <c r="K23" s="41" t="s">
        <v>593</v>
      </c>
      <c r="L23" s="41" t="s">
        <v>593</v>
      </c>
      <c r="M23" s="41" t="s">
        <v>593</v>
      </c>
      <c r="N23" s="41" t="s">
        <v>593</v>
      </c>
      <c r="O23" s="41" t="s">
        <v>593</v>
      </c>
    </row>
    <row r="24" spans="1:15">
      <c r="A24" s="43" t="s">
        <v>594</v>
      </c>
      <c r="B24" s="41">
        <v>1.7</v>
      </c>
      <c r="C24" s="41">
        <v>0.6</v>
      </c>
      <c r="D24" s="41">
        <v>0.5</v>
      </c>
      <c r="E24" s="41" t="s">
        <v>592</v>
      </c>
      <c r="F24" s="41" t="s">
        <v>592</v>
      </c>
      <c r="G24" s="41" t="s">
        <v>592</v>
      </c>
      <c r="H24" s="41" t="s">
        <v>592</v>
      </c>
      <c r="I24" s="41">
        <v>0.2</v>
      </c>
      <c r="J24" s="41" t="s">
        <v>592</v>
      </c>
      <c r="K24" s="41" t="s">
        <v>592</v>
      </c>
      <c r="L24" s="41" t="s">
        <v>592</v>
      </c>
      <c r="M24" s="41" t="s">
        <v>592</v>
      </c>
      <c r="N24" s="41" t="s">
        <v>592</v>
      </c>
      <c r="O24" s="41" t="s">
        <v>593</v>
      </c>
    </row>
    <row r="25" spans="1:15">
      <c r="A25" s="43" t="s">
        <v>595</v>
      </c>
      <c r="B25" s="41">
        <v>1.2</v>
      </c>
      <c r="C25" s="41">
        <v>0.3</v>
      </c>
      <c r="D25" s="41">
        <v>0.2</v>
      </c>
      <c r="E25" s="41" t="s">
        <v>592</v>
      </c>
      <c r="F25" s="41" t="s">
        <v>593</v>
      </c>
      <c r="G25" s="41">
        <v>0.2</v>
      </c>
      <c r="H25" s="41" t="s">
        <v>593</v>
      </c>
      <c r="I25" s="41" t="s">
        <v>592</v>
      </c>
      <c r="J25" s="41" t="s">
        <v>592</v>
      </c>
      <c r="K25" s="41" t="s">
        <v>592</v>
      </c>
      <c r="L25" s="41" t="s">
        <v>592</v>
      </c>
      <c r="M25" s="41" t="s">
        <v>592</v>
      </c>
      <c r="N25" s="41" t="s">
        <v>592</v>
      </c>
      <c r="O25" s="41" t="s">
        <v>593</v>
      </c>
    </row>
    <row r="26" spans="1:15">
      <c r="A26" s="43"/>
      <c r="B26" s="41"/>
      <c r="C26" s="41"/>
      <c r="D26" s="41"/>
      <c r="E26" s="41"/>
      <c r="F26" s="41"/>
      <c r="G26" s="41"/>
      <c r="H26" s="41"/>
      <c r="I26" s="41"/>
      <c r="J26" s="41"/>
      <c r="K26" s="41"/>
      <c r="L26" s="41"/>
      <c r="M26" s="41"/>
      <c r="N26" s="41"/>
      <c r="O26" s="41"/>
    </row>
    <row r="27" spans="1:15">
      <c r="A27" s="42" t="s">
        <v>596</v>
      </c>
      <c r="B27" s="41"/>
      <c r="C27" s="41"/>
      <c r="D27" s="41"/>
      <c r="E27" s="41"/>
      <c r="F27" s="41"/>
      <c r="G27" s="41"/>
      <c r="H27" s="41"/>
      <c r="I27" s="41"/>
      <c r="J27" s="41"/>
      <c r="K27" s="41"/>
      <c r="L27" s="41"/>
      <c r="M27" s="41"/>
      <c r="N27" s="41"/>
      <c r="O27" s="41"/>
    </row>
    <row r="28" spans="1:15">
      <c r="A28" s="42" t="s">
        <v>597</v>
      </c>
      <c r="B28" s="41"/>
      <c r="C28" s="41"/>
      <c r="D28" s="41"/>
      <c r="E28" s="41"/>
      <c r="F28" s="41"/>
      <c r="G28" s="41"/>
      <c r="H28" s="41"/>
      <c r="I28" s="41"/>
      <c r="J28" s="41"/>
      <c r="K28" s="41"/>
      <c r="L28" s="41"/>
      <c r="M28" s="41"/>
      <c r="N28" s="41"/>
      <c r="O28" s="41"/>
    </row>
    <row r="29" spans="1:15">
      <c r="A29" s="43" t="s">
        <v>598</v>
      </c>
      <c r="B29" s="41">
        <v>58</v>
      </c>
      <c r="C29" s="41">
        <v>29.7</v>
      </c>
      <c r="D29" s="41">
        <v>16.8</v>
      </c>
      <c r="E29" s="41">
        <v>2.2000000000000002</v>
      </c>
      <c r="F29" s="41">
        <v>2.2999999999999998</v>
      </c>
      <c r="G29" s="41">
        <v>5.8</v>
      </c>
      <c r="H29" s="41">
        <v>2.4</v>
      </c>
      <c r="I29" s="41">
        <v>4.0999999999999996</v>
      </c>
      <c r="J29" s="41">
        <v>5</v>
      </c>
      <c r="K29" s="41">
        <v>1.8</v>
      </c>
      <c r="L29" s="41">
        <v>3.2</v>
      </c>
      <c r="M29" s="41">
        <v>7.9</v>
      </c>
      <c r="N29" s="41">
        <v>5</v>
      </c>
      <c r="O29" s="41">
        <v>2.9</v>
      </c>
    </row>
    <row r="30" spans="1:15">
      <c r="A30" s="44" t="s">
        <v>599</v>
      </c>
      <c r="B30" s="41">
        <v>38.1</v>
      </c>
      <c r="C30" s="41">
        <v>24.2</v>
      </c>
      <c r="D30" s="41">
        <v>14</v>
      </c>
      <c r="E30" s="41">
        <v>1.6</v>
      </c>
      <c r="F30" s="41">
        <v>1.7</v>
      </c>
      <c r="G30" s="41">
        <v>5.7</v>
      </c>
      <c r="H30" s="41">
        <v>1.6</v>
      </c>
      <c r="I30" s="41">
        <v>3.5</v>
      </c>
      <c r="J30" s="41">
        <v>3.9</v>
      </c>
      <c r="K30" s="41">
        <v>1.5</v>
      </c>
      <c r="L30" s="41">
        <v>2.2999999999999998</v>
      </c>
      <c r="M30" s="41">
        <v>6.3</v>
      </c>
      <c r="N30" s="41">
        <v>4.2</v>
      </c>
      <c r="O30" s="41">
        <v>2.1</v>
      </c>
    </row>
    <row r="31" spans="1:15">
      <c r="A31" s="44" t="s">
        <v>600</v>
      </c>
      <c r="B31" s="41">
        <v>26.8</v>
      </c>
      <c r="C31" s="41">
        <v>9.6999999999999993</v>
      </c>
      <c r="D31" s="41">
        <v>5.2</v>
      </c>
      <c r="E31" s="41">
        <v>0.8</v>
      </c>
      <c r="F31" s="41">
        <v>1.1000000000000001</v>
      </c>
      <c r="G31" s="41">
        <v>0.9</v>
      </c>
      <c r="H31" s="41">
        <v>1.2</v>
      </c>
      <c r="I31" s="41">
        <v>1.2</v>
      </c>
      <c r="J31" s="41">
        <v>1.9</v>
      </c>
      <c r="K31" s="41">
        <v>0.6</v>
      </c>
      <c r="L31" s="41">
        <v>1.3</v>
      </c>
      <c r="M31" s="41">
        <v>2.7</v>
      </c>
      <c r="N31" s="41">
        <v>1.3</v>
      </c>
      <c r="O31" s="41">
        <v>1.4</v>
      </c>
    </row>
    <row r="32" spans="1:15">
      <c r="A32" s="43" t="s">
        <v>601</v>
      </c>
      <c r="B32" s="41">
        <v>94</v>
      </c>
      <c r="C32" s="41">
        <v>40.5</v>
      </c>
      <c r="D32" s="41">
        <v>21.2</v>
      </c>
      <c r="E32" s="41">
        <v>2.8</v>
      </c>
      <c r="F32" s="41">
        <v>3.4</v>
      </c>
      <c r="G32" s="41">
        <v>6.7</v>
      </c>
      <c r="H32" s="41">
        <v>3.2</v>
      </c>
      <c r="I32" s="41">
        <v>5.0999999999999996</v>
      </c>
      <c r="J32" s="41">
        <v>6.9</v>
      </c>
      <c r="K32" s="41">
        <v>2.4</v>
      </c>
      <c r="L32" s="41">
        <v>4.5</v>
      </c>
      <c r="M32" s="41">
        <v>12.4</v>
      </c>
      <c r="N32" s="41">
        <v>8.1999999999999993</v>
      </c>
      <c r="O32" s="41">
        <v>4.0999999999999996</v>
      </c>
    </row>
    <row r="33" spans="1:15">
      <c r="A33" s="43" t="s">
        <v>602</v>
      </c>
      <c r="B33" s="41">
        <v>47.1</v>
      </c>
      <c r="C33" s="41">
        <v>27.3</v>
      </c>
      <c r="D33" s="41">
        <v>16.100000000000001</v>
      </c>
      <c r="E33" s="41">
        <v>1.8</v>
      </c>
      <c r="F33" s="41">
        <v>1.8</v>
      </c>
      <c r="G33" s="41">
        <v>6.2</v>
      </c>
      <c r="H33" s="41">
        <v>2.2000000000000002</v>
      </c>
      <c r="I33" s="41">
        <v>4.2</v>
      </c>
      <c r="J33" s="41">
        <v>5</v>
      </c>
      <c r="K33" s="41">
        <v>1.8</v>
      </c>
      <c r="L33" s="41">
        <v>3.1</v>
      </c>
      <c r="M33" s="41">
        <v>6.2</v>
      </c>
      <c r="N33" s="41">
        <v>4</v>
      </c>
      <c r="O33" s="41">
        <v>2.2999999999999998</v>
      </c>
    </row>
    <row r="34" spans="1:15">
      <c r="A34" s="43" t="s">
        <v>603</v>
      </c>
      <c r="B34" s="41">
        <v>71.2</v>
      </c>
      <c r="C34" s="41">
        <v>31.7</v>
      </c>
      <c r="D34" s="41">
        <v>17.899999999999999</v>
      </c>
      <c r="E34" s="41">
        <v>2.2000000000000002</v>
      </c>
      <c r="F34" s="41">
        <v>2.2999999999999998</v>
      </c>
      <c r="G34" s="41">
        <v>6</v>
      </c>
      <c r="H34" s="41">
        <v>2.4</v>
      </c>
      <c r="I34" s="41">
        <v>5</v>
      </c>
      <c r="J34" s="41">
        <v>5.8</v>
      </c>
      <c r="K34" s="41">
        <v>2.2000000000000002</v>
      </c>
      <c r="L34" s="41">
        <v>3.6</v>
      </c>
      <c r="M34" s="41">
        <v>8</v>
      </c>
      <c r="N34" s="41">
        <v>5.4</v>
      </c>
      <c r="O34" s="41">
        <v>2.6</v>
      </c>
    </row>
    <row r="35" spans="1:15">
      <c r="A35" s="43" t="s">
        <v>604</v>
      </c>
      <c r="B35" s="41">
        <v>113.6</v>
      </c>
      <c r="C35" s="41">
        <v>42.1</v>
      </c>
      <c r="D35" s="41">
        <v>22.2</v>
      </c>
      <c r="E35" s="41">
        <v>3</v>
      </c>
      <c r="F35" s="41">
        <v>3.5</v>
      </c>
      <c r="G35" s="41">
        <v>7</v>
      </c>
      <c r="H35" s="41">
        <v>3.4</v>
      </c>
      <c r="I35" s="41">
        <v>5.4</v>
      </c>
      <c r="J35" s="41">
        <v>7.1</v>
      </c>
      <c r="K35" s="41">
        <v>2.4</v>
      </c>
      <c r="L35" s="41">
        <v>4.5999999999999996</v>
      </c>
      <c r="M35" s="41">
        <v>12.8</v>
      </c>
      <c r="N35" s="41">
        <v>8.5</v>
      </c>
      <c r="O35" s="41">
        <v>4.2</v>
      </c>
    </row>
    <row r="36" spans="1:15">
      <c r="A36" s="43"/>
      <c r="B36" s="41"/>
      <c r="C36" s="41"/>
      <c r="D36" s="41"/>
      <c r="E36" s="41"/>
      <c r="F36" s="41"/>
      <c r="G36" s="41"/>
      <c r="H36" s="41"/>
      <c r="I36" s="41"/>
      <c r="J36" s="41"/>
      <c r="K36" s="41"/>
      <c r="L36" s="41"/>
      <c r="M36" s="41"/>
      <c r="N36" s="41"/>
      <c r="O36" s="41"/>
    </row>
    <row r="37" spans="1:15">
      <c r="A37" s="42" t="s">
        <v>605</v>
      </c>
      <c r="B37" s="41"/>
      <c r="C37" s="41"/>
      <c r="D37" s="41"/>
      <c r="E37" s="41"/>
      <c r="F37" s="41"/>
      <c r="G37" s="41"/>
      <c r="H37" s="41"/>
      <c r="I37" s="41"/>
      <c r="J37" s="41"/>
      <c r="K37" s="41"/>
      <c r="L37" s="41"/>
      <c r="M37" s="41"/>
      <c r="N37" s="41"/>
      <c r="O37" s="41"/>
    </row>
    <row r="38" spans="1:15">
      <c r="A38" s="42" t="s">
        <v>597</v>
      </c>
      <c r="B38" s="41"/>
      <c r="C38" s="41"/>
      <c r="D38" s="41"/>
      <c r="E38" s="41"/>
      <c r="F38" s="41"/>
      <c r="G38" s="41"/>
      <c r="H38" s="41"/>
      <c r="I38" s="41"/>
      <c r="J38" s="41"/>
      <c r="K38" s="41"/>
      <c r="L38" s="41"/>
      <c r="M38" s="41"/>
      <c r="N38" s="41"/>
      <c r="O38" s="41"/>
    </row>
    <row r="39" spans="1:15">
      <c r="A39" s="43" t="s">
        <v>598</v>
      </c>
      <c r="B39" s="41">
        <v>57.2</v>
      </c>
      <c r="C39" s="41">
        <v>14</v>
      </c>
      <c r="D39" s="41">
        <v>6</v>
      </c>
      <c r="E39" s="41">
        <v>1.1000000000000001</v>
      </c>
      <c r="F39" s="41">
        <v>1.7</v>
      </c>
      <c r="G39" s="41">
        <v>0.4</v>
      </c>
      <c r="H39" s="41">
        <v>1.3</v>
      </c>
      <c r="I39" s="41">
        <v>1.5</v>
      </c>
      <c r="J39" s="41">
        <v>2.2999999999999998</v>
      </c>
      <c r="K39" s="41">
        <v>0.8</v>
      </c>
      <c r="L39" s="41">
        <v>1.5</v>
      </c>
      <c r="M39" s="41">
        <v>5.7</v>
      </c>
      <c r="N39" s="41">
        <v>3.9</v>
      </c>
      <c r="O39" s="41">
        <v>1.8</v>
      </c>
    </row>
    <row r="40" spans="1:15">
      <c r="A40" s="44" t="s">
        <v>599</v>
      </c>
      <c r="B40" s="41">
        <v>55.6</v>
      </c>
      <c r="C40" s="41">
        <v>13.3</v>
      </c>
      <c r="D40" s="41">
        <v>5.6</v>
      </c>
      <c r="E40" s="41">
        <v>1</v>
      </c>
      <c r="F40" s="41">
        <v>1.7</v>
      </c>
      <c r="G40" s="41">
        <v>0.4</v>
      </c>
      <c r="H40" s="41">
        <v>1.2</v>
      </c>
      <c r="I40" s="41">
        <v>1.3</v>
      </c>
      <c r="J40" s="41">
        <v>2.2000000000000002</v>
      </c>
      <c r="K40" s="41">
        <v>0.7</v>
      </c>
      <c r="L40" s="41">
        <v>1.5</v>
      </c>
      <c r="M40" s="41">
        <v>5.6</v>
      </c>
      <c r="N40" s="41">
        <v>3.8</v>
      </c>
      <c r="O40" s="41">
        <v>1.7</v>
      </c>
    </row>
    <row r="41" spans="1:15">
      <c r="A41" s="44" t="s">
        <v>600</v>
      </c>
      <c r="B41" s="41">
        <v>7.2</v>
      </c>
      <c r="C41" s="41">
        <v>2.5</v>
      </c>
      <c r="D41" s="41">
        <v>1.2</v>
      </c>
      <c r="E41" s="41">
        <v>0.3</v>
      </c>
      <c r="F41" s="41">
        <v>0.2</v>
      </c>
      <c r="G41" s="41">
        <v>0.1</v>
      </c>
      <c r="H41" s="41" t="s">
        <v>592</v>
      </c>
      <c r="I41" s="41">
        <v>0.5</v>
      </c>
      <c r="J41" s="41">
        <v>0.3</v>
      </c>
      <c r="K41" s="41">
        <v>0.1</v>
      </c>
      <c r="L41" s="41">
        <v>0.2</v>
      </c>
      <c r="M41" s="41">
        <v>0.9</v>
      </c>
      <c r="N41" s="41">
        <v>0.6</v>
      </c>
      <c r="O41" s="41">
        <v>0.3</v>
      </c>
    </row>
    <row r="42" spans="1:15">
      <c r="A42" s="43" t="s">
        <v>602</v>
      </c>
      <c r="B42" s="41">
        <v>58.4</v>
      </c>
      <c r="C42" s="41">
        <v>13.6</v>
      </c>
      <c r="D42" s="41">
        <v>5.5</v>
      </c>
      <c r="E42" s="41">
        <v>1.1000000000000001</v>
      </c>
      <c r="F42" s="41">
        <v>1.7</v>
      </c>
      <c r="G42" s="41">
        <v>0.6</v>
      </c>
      <c r="H42" s="41">
        <v>1.2</v>
      </c>
      <c r="I42" s="41">
        <v>1</v>
      </c>
      <c r="J42" s="41">
        <v>2</v>
      </c>
      <c r="K42" s="41">
        <v>0.6</v>
      </c>
      <c r="L42" s="41">
        <v>1.4</v>
      </c>
      <c r="M42" s="41">
        <v>6.1</v>
      </c>
      <c r="N42" s="41">
        <v>4.4000000000000004</v>
      </c>
      <c r="O42" s="41">
        <v>1.7</v>
      </c>
    </row>
    <row r="43" spans="1:15">
      <c r="A43" s="43" t="s">
        <v>603</v>
      </c>
      <c r="B43" s="41">
        <v>39.200000000000003</v>
      </c>
      <c r="C43" s="41">
        <v>9</v>
      </c>
      <c r="D43" s="41">
        <v>3.7</v>
      </c>
      <c r="E43" s="41">
        <v>0.8</v>
      </c>
      <c r="F43" s="41">
        <v>1.2</v>
      </c>
      <c r="G43" s="41">
        <v>0.6</v>
      </c>
      <c r="H43" s="41">
        <v>0.9</v>
      </c>
      <c r="I43" s="41">
        <v>0.2</v>
      </c>
      <c r="J43" s="41">
        <v>0.9</v>
      </c>
      <c r="K43" s="41">
        <v>0.2</v>
      </c>
      <c r="L43" s="41">
        <v>0.7</v>
      </c>
      <c r="M43" s="41">
        <v>4.4000000000000004</v>
      </c>
      <c r="N43" s="41">
        <v>3.2</v>
      </c>
      <c r="O43" s="41">
        <v>1.2</v>
      </c>
    </row>
    <row r="44" spans="1:15">
      <c r="A44" s="43" t="s">
        <v>604</v>
      </c>
      <c r="B44" s="41">
        <v>21.5</v>
      </c>
      <c r="C44" s="41">
        <v>3.8</v>
      </c>
      <c r="D44" s="41">
        <v>1.6</v>
      </c>
      <c r="E44" s="41">
        <v>0.2</v>
      </c>
      <c r="F44" s="41">
        <v>0.4</v>
      </c>
      <c r="G44" s="41">
        <v>0.5</v>
      </c>
      <c r="H44" s="41">
        <v>0.2</v>
      </c>
      <c r="I44" s="41">
        <v>0.4</v>
      </c>
      <c r="J44" s="41">
        <v>0.5</v>
      </c>
      <c r="K44" s="41">
        <v>0.2</v>
      </c>
      <c r="L44" s="41">
        <v>0.4</v>
      </c>
      <c r="M44" s="41">
        <v>1.6</v>
      </c>
      <c r="N44" s="41">
        <v>1.4</v>
      </c>
      <c r="O44" s="41">
        <v>0.3</v>
      </c>
    </row>
    <row r="45" spans="1:15">
      <c r="A45" s="43"/>
      <c r="B45" s="41"/>
      <c r="C45" s="41"/>
      <c r="D45" s="41"/>
      <c r="E45" s="41"/>
      <c r="F45" s="41"/>
      <c r="G45" s="41"/>
      <c r="H45" s="41"/>
      <c r="I45" s="41"/>
      <c r="J45" s="41"/>
      <c r="K45" s="41"/>
      <c r="L45" s="41"/>
      <c r="M45" s="41"/>
      <c r="N45" s="41"/>
      <c r="O45" s="41"/>
    </row>
    <row r="46" spans="1:15">
      <c r="A46" s="42" t="s">
        <v>606</v>
      </c>
      <c r="B46" s="41"/>
      <c r="C46" s="41"/>
      <c r="D46" s="41"/>
      <c r="E46" s="41"/>
      <c r="F46" s="41"/>
      <c r="G46" s="41"/>
      <c r="H46" s="41"/>
      <c r="I46" s="41"/>
      <c r="J46" s="41"/>
      <c r="K46" s="41"/>
      <c r="L46" s="41"/>
      <c r="M46" s="41"/>
      <c r="N46" s="41"/>
      <c r="O46" s="41"/>
    </row>
    <row r="47" spans="1:15">
      <c r="A47" s="42" t="s">
        <v>597</v>
      </c>
      <c r="B47" s="41"/>
      <c r="C47" s="41"/>
      <c r="D47" s="41"/>
      <c r="E47" s="41"/>
      <c r="F47" s="41"/>
      <c r="G47" s="41"/>
      <c r="H47" s="41"/>
      <c r="I47" s="41"/>
      <c r="J47" s="41"/>
      <c r="K47" s="41"/>
      <c r="L47" s="41"/>
      <c r="M47" s="41"/>
      <c r="N47" s="41"/>
      <c r="O47" s="41"/>
    </row>
    <row r="48" spans="1:15">
      <c r="A48" s="43" t="s">
        <v>598</v>
      </c>
      <c r="B48" s="41">
        <v>8</v>
      </c>
      <c r="C48" s="41">
        <v>3.3</v>
      </c>
      <c r="D48" s="41">
        <v>1.7</v>
      </c>
      <c r="E48" s="41">
        <v>0.3</v>
      </c>
      <c r="F48" s="41">
        <v>0.1</v>
      </c>
      <c r="G48" s="41">
        <v>0.2</v>
      </c>
      <c r="H48" s="41">
        <v>0.3</v>
      </c>
      <c r="I48" s="41">
        <v>0.7</v>
      </c>
      <c r="J48" s="41">
        <v>1</v>
      </c>
      <c r="K48" s="41">
        <v>0.2</v>
      </c>
      <c r="L48" s="41">
        <v>0.8</v>
      </c>
      <c r="M48" s="41">
        <v>0.6</v>
      </c>
      <c r="N48" s="41">
        <v>0.2</v>
      </c>
      <c r="O48" s="41">
        <v>0.3</v>
      </c>
    </row>
    <row r="49" spans="1:15">
      <c r="A49" s="44" t="s">
        <v>599</v>
      </c>
      <c r="B49" s="41">
        <v>5.6</v>
      </c>
      <c r="C49" s="41">
        <v>1.9</v>
      </c>
      <c r="D49" s="41">
        <v>0.7</v>
      </c>
      <c r="E49" s="41" t="s">
        <v>592</v>
      </c>
      <c r="F49" s="41">
        <v>0.1</v>
      </c>
      <c r="G49" s="41">
        <v>0.1</v>
      </c>
      <c r="H49" s="41" t="s">
        <v>592</v>
      </c>
      <c r="I49" s="41">
        <v>0.3</v>
      </c>
      <c r="J49" s="41">
        <v>0.7</v>
      </c>
      <c r="K49" s="41" t="s">
        <v>592</v>
      </c>
      <c r="L49" s="41">
        <v>0.6</v>
      </c>
      <c r="M49" s="41">
        <v>0.5</v>
      </c>
      <c r="N49" s="41">
        <v>0.2</v>
      </c>
      <c r="O49" s="41">
        <v>0.3</v>
      </c>
    </row>
    <row r="50" spans="1:15">
      <c r="A50" s="44" t="s">
        <v>600</v>
      </c>
      <c r="B50" s="41">
        <v>2.8</v>
      </c>
      <c r="C50" s="41">
        <v>1.5</v>
      </c>
      <c r="D50" s="41">
        <v>1.1000000000000001</v>
      </c>
      <c r="E50" s="41">
        <v>0.3</v>
      </c>
      <c r="F50" s="41" t="s">
        <v>592</v>
      </c>
      <c r="G50" s="41">
        <v>0.1</v>
      </c>
      <c r="H50" s="41">
        <v>0.2</v>
      </c>
      <c r="I50" s="41">
        <v>0.4</v>
      </c>
      <c r="J50" s="41">
        <v>0.3</v>
      </c>
      <c r="K50" s="41">
        <v>0.1</v>
      </c>
      <c r="L50" s="41">
        <v>0.2</v>
      </c>
      <c r="M50" s="41" t="s">
        <v>592</v>
      </c>
      <c r="N50" s="41" t="s">
        <v>592</v>
      </c>
      <c r="O50" s="41" t="s">
        <v>592</v>
      </c>
    </row>
    <row r="51" spans="1:15">
      <c r="A51" s="43" t="s">
        <v>602</v>
      </c>
      <c r="B51" s="41">
        <v>4.2</v>
      </c>
      <c r="C51" s="41">
        <v>1.1000000000000001</v>
      </c>
      <c r="D51" s="41">
        <v>0.5</v>
      </c>
      <c r="E51" s="41" t="s">
        <v>592</v>
      </c>
      <c r="F51" s="41" t="s">
        <v>592</v>
      </c>
      <c r="G51" s="41">
        <v>0.2</v>
      </c>
      <c r="H51" s="41" t="s">
        <v>592</v>
      </c>
      <c r="I51" s="41" t="s">
        <v>592</v>
      </c>
      <c r="J51" s="41">
        <v>0.2</v>
      </c>
      <c r="K51" s="41" t="s">
        <v>592</v>
      </c>
      <c r="L51" s="41">
        <v>0.2</v>
      </c>
      <c r="M51" s="41">
        <v>0.4</v>
      </c>
      <c r="N51" s="41">
        <v>0.2</v>
      </c>
      <c r="O51" s="41">
        <v>0.2</v>
      </c>
    </row>
    <row r="52" spans="1:15">
      <c r="A52" s="43" t="s">
        <v>603</v>
      </c>
      <c r="B52" s="41">
        <v>5.7</v>
      </c>
      <c r="C52" s="41">
        <v>2.2000000000000002</v>
      </c>
      <c r="D52" s="41">
        <v>1</v>
      </c>
      <c r="E52" s="41">
        <v>0.1</v>
      </c>
      <c r="F52" s="41" t="s">
        <v>592</v>
      </c>
      <c r="G52" s="41">
        <v>0.4</v>
      </c>
      <c r="H52" s="41">
        <v>0.2</v>
      </c>
      <c r="I52" s="41">
        <v>0.2</v>
      </c>
      <c r="J52" s="41">
        <v>0.5</v>
      </c>
      <c r="K52" s="41" t="s">
        <v>592</v>
      </c>
      <c r="L52" s="41">
        <v>0.5</v>
      </c>
      <c r="M52" s="41">
        <v>0.7</v>
      </c>
      <c r="N52" s="41">
        <v>0.3</v>
      </c>
      <c r="O52" s="41">
        <v>0.4</v>
      </c>
    </row>
    <row r="53" spans="1:15">
      <c r="A53" s="43" t="s">
        <v>604</v>
      </c>
      <c r="B53" s="41">
        <v>43.9</v>
      </c>
      <c r="C53" s="41">
        <v>14</v>
      </c>
      <c r="D53" s="41">
        <v>8.3000000000000007</v>
      </c>
      <c r="E53" s="41">
        <v>1.3</v>
      </c>
      <c r="F53" s="41">
        <v>0.9</v>
      </c>
      <c r="G53" s="41">
        <v>2.6</v>
      </c>
      <c r="H53" s="41">
        <v>1.5</v>
      </c>
      <c r="I53" s="41">
        <v>1.9</v>
      </c>
      <c r="J53" s="41">
        <v>2.4</v>
      </c>
      <c r="K53" s="41">
        <v>0.7</v>
      </c>
      <c r="L53" s="41">
        <v>1.7</v>
      </c>
      <c r="M53" s="41">
        <v>3.4</v>
      </c>
      <c r="N53" s="41">
        <v>2.2000000000000002</v>
      </c>
      <c r="O53" s="41">
        <v>1.2</v>
      </c>
    </row>
    <row r="54" spans="1:15">
      <c r="A54" s="43"/>
      <c r="B54" s="41"/>
      <c r="C54" s="41"/>
      <c r="D54" s="41"/>
      <c r="E54" s="41"/>
      <c r="F54" s="41"/>
      <c r="G54" s="41"/>
      <c r="H54" s="41"/>
      <c r="I54" s="41"/>
      <c r="J54" s="41"/>
      <c r="K54" s="41"/>
      <c r="L54" s="41"/>
      <c r="M54" s="41"/>
      <c r="N54" s="41"/>
      <c r="O54" s="41"/>
    </row>
    <row r="55" spans="1:15">
      <c r="A55" s="42" t="s">
        <v>607</v>
      </c>
      <c r="B55" s="41"/>
      <c r="C55" s="41"/>
      <c r="D55" s="41"/>
      <c r="E55" s="41"/>
      <c r="F55" s="41"/>
      <c r="G55" s="41"/>
      <c r="H55" s="41"/>
      <c r="I55" s="41"/>
      <c r="J55" s="41"/>
      <c r="K55" s="41"/>
      <c r="L55" s="41"/>
      <c r="M55" s="41"/>
      <c r="N55" s="41"/>
      <c r="O55" s="41"/>
    </row>
    <row r="56" spans="1:15">
      <c r="A56" s="42" t="s">
        <v>597</v>
      </c>
      <c r="B56" s="41"/>
      <c r="C56" s="41"/>
      <c r="D56" s="41"/>
      <c r="E56" s="41"/>
      <c r="F56" s="41"/>
      <c r="G56" s="41"/>
      <c r="H56" s="41"/>
      <c r="I56" s="41"/>
      <c r="J56" s="41"/>
      <c r="K56" s="41"/>
      <c r="L56" s="41"/>
      <c r="M56" s="41"/>
      <c r="N56" s="41"/>
      <c r="O56" s="41"/>
    </row>
    <row r="57" spans="1:15">
      <c r="A57" s="43" t="s">
        <v>598</v>
      </c>
      <c r="B57" s="41">
        <v>11.5</v>
      </c>
      <c r="C57" s="41">
        <v>3.4</v>
      </c>
      <c r="D57" s="41">
        <v>2</v>
      </c>
      <c r="E57" s="41">
        <v>0.3</v>
      </c>
      <c r="F57" s="41">
        <v>0.5</v>
      </c>
      <c r="G57" s="41">
        <v>0.3</v>
      </c>
      <c r="H57" s="41">
        <v>0.5</v>
      </c>
      <c r="I57" s="41">
        <v>0.3</v>
      </c>
      <c r="J57" s="41">
        <v>0.6</v>
      </c>
      <c r="K57" s="41">
        <v>0.1</v>
      </c>
      <c r="L57" s="41">
        <v>0.5</v>
      </c>
      <c r="M57" s="41">
        <v>0.8</v>
      </c>
      <c r="N57" s="41">
        <v>0.4</v>
      </c>
      <c r="O57" s="41">
        <v>0.5</v>
      </c>
    </row>
    <row r="58" spans="1:15">
      <c r="A58" s="44" t="s">
        <v>599</v>
      </c>
      <c r="B58" s="41">
        <v>2.8</v>
      </c>
      <c r="C58" s="41">
        <v>0.8</v>
      </c>
      <c r="D58" s="41">
        <v>0.4</v>
      </c>
      <c r="E58" s="41" t="s">
        <v>592</v>
      </c>
      <c r="F58" s="41" t="s">
        <v>592</v>
      </c>
      <c r="G58" s="41" t="s">
        <v>592</v>
      </c>
      <c r="H58" s="41" t="s">
        <v>592</v>
      </c>
      <c r="I58" s="41" t="s">
        <v>592</v>
      </c>
      <c r="J58" s="41">
        <v>0.2</v>
      </c>
      <c r="K58" s="41" t="s">
        <v>592</v>
      </c>
      <c r="L58" s="41">
        <v>0.2</v>
      </c>
      <c r="M58" s="41" t="s">
        <v>592</v>
      </c>
      <c r="N58" s="41" t="s">
        <v>592</v>
      </c>
      <c r="O58" s="41" t="s">
        <v>592</v>
      </c>
    </row>
    <row r="59" spans="1:15">
      <c r="A59" s="44" t="s">
        <v>600</v>
      </c>
      <c r="B59" s="41">
        <v>8.8000000000000007</v>
      </c>
      <c r="C59" s="41">
        <v>2.6</v>
      </c>
      <c r="D59" s="41">
        <v>1.6</v>
      </c>
      <c r="E59" s="41">
        <v>0.2</v>
      </c>
      <c r="F59" s="41">
        <v>0.5</v>
      </c>
      <c r="G59" s="41">
        <v>0.3</v>
      </c>
      <c r="H59" s="41">
        <v>0.4</v>
      </c>
      <c r="I59" s="41">
        <v>0.3</v>
      </c>
      <c r="J59" s="41">
        <v>0.4</v>
      </c>
      <c r="K59" s="41" t="s">
        <v>592</v>
      </c>
      <c r="L59" s="41">
        <v>0.3</v>
      </c>
      <c r="M59" s="41">
        <v>0.7</v>
      </c>
      <c r="N59" s="41">
        <v>0.4</v>
      </c>
      <c r="O59" s="41">
        <v>0.3</v>
      </c>
    </row>
    <row r="60" spans="1:15">
      <c r="A60" s="43" t="s">
        <v>604</v>
      </c>
      <c r="B60" s="41">
        <v>1.7</v>
      </c>
      <c r="C60" s="41">
        <v>0.6</v>
      </c>
      <c r="D60" s="41">
        <v>0.3</v>
      </c>
      <c r="E60" s="41" t="s">
        <v>592</v>
      </c>
      <c r="F60" s="41">
        <v>0.1</v>
      </c>
      <c r="G60" s="41">
        <v>0.1</v>
      </c>
      <c r="H60" s="41" t="s">
        <v>592</v>
      </c>
      <c r="I60" s="41" t="s">
        <v>592</v>
      </c>
      <c r="J60" s="41" t="s">
        <v>592</v>
      </c>
      <c r="K60" s="41" t="s">
        <v>593</v>
      </c>
      <c r="L60" s="41" t="s">
        <v>592</v>
      </c>
      <c r="M60" s="41">
        <v>0.3</v>
      </c>
      <c r="N60" s="41">
        <v>0.2</v>
      </c>
      <c r="O60" s="41" t="s">
        <v>592</v>
      </c>
    </row>
    <row r="61" spans="1:15">
      <c r="A61" s="43"/>
      <c r="B61" s="41"/>
      <c r="C61" s="41"/>
      <c r="D61" s="41"/>
      <c r="E61" s="41"/>
      <c r="F61" s="41"/>
      <c r="G61" s="41"/>
      <c r="H61" s="41"/>
      <c r="I61" s="41"/>
      <c r="J61" s="41"/>
      <c r="K61" s="41"/>
      <c r="L61" s="41"/>
      <c r="M61" s="41"/>
      <c r="N61" s="41"/>
      <c r="O61" s="41"/>
    </row>
    <row r="62" spans="1:15">
      <c r="A62" s="42" t="s">
        <v>608</v>
      </c>
      <c r="B62" s="41"/>
      <c r="C62" s="41"/>
      <c r="D62" s="41"/>
      <c r="E62" s="41"/>
      <c r="F62" s="41"/>
      <c r="G62" s="41"/>
      <c r="H62" s="41"/>
      <c r="I62" s="41"/>
      <c r="J62" s="41"/>
      <c r="K62" s="41"/>
      <c r="L62" s="41"/>
      <c r="M62" s="41"/>
      <c r="N62" s="41"/>
      <c r="O62" s="41"/>
    </row>
    <row r="63" spans="1:15">
      <c r="A63" s="42" t="s">
        <v>597</v>
      </c>
      <c r="B63" s="41"/>
      <c r="C63" s="41"/>
      <c r="D63" s="41"/>
      <c r="E63" s="41"/>
      <c r="F63" s="41"/>
      <c r="G63" s="41"/>
      <c r="H63" s="41"/>
      <c r="I63" s="41"/>
      <c r="J63" s="41"/>
      <c r="K63" s="41"/>
      <c r="L63" s="41"/>
      <c r="M63" s="41"/>
      <c r="N63" s="41"/>
      <c r="O63" s="41"/>
    </row>
    <row r="64" spans="1:15">
      <c r="A64" s="43" t="s">
        <v>598</v>
      </c>
      <c r="B64" s="41">
        <v>7.3</v>
      </c>
      <c r="C64" s="41">
        <v>0.6</v>
      </c>
      <c r="D64" s="41">
        <v>0.6</v>
      </c>
      <c r="E64" s="41">
        <v>0.1</v>
      </c>
      <c r="F64" s="41" t="s">
        <v>592</v>
      </c>
      <c r="G64" s="41" t="s">
        <v>592</v>
      </c>
      <c r="H64" s="41">
        <v>0.4</v>
      </c>
      <c r="I64" s="41" t="s">
        <v>592</v>
      </c>
      <c r="J64" s="41" t="s">
        <v>593</v>
      </c>
      <c r="K64" s="41" t="s">
        <v>593</v>
      </c>
      <c r="L64" s="41" t="s">
        <v>593</v>
      </c>
      <c r="M64" s="41" t="s">
        <v>593</v>
      </c>
      <c r="N64" s="41" t="s">
        <v>593</v>
      </c>
      <c r="O64" s="41" t="s">
        <v>593</v>
      </c>
    </row>
    <row r="65" spans="1:15">
      <c r="A65" s="44" t="s">
        <v>599</v>
      </c>
      <c r="B65" s="41">
        <v>6.9</v>
      </c>
      <c r="C65" s="41">
        <v>0.6</v>
      </c>
      <c r="D65" s="41">
        <v>0.6</v>
      </c>
      <c r="E65" s="41" t="s">
        <v>592</v>
      </c>
      <c r="F65" s="41" t="s">
        <v>592</v>
      </c>
      <c r="G65" s="41" t="s">
        <v>593</v>
      </c>
      <c r="H65" s="41">
        <v>0.4</v>
      </c>
      <c r="I65" s="41" t="s">
        <v>592</v>
      </c>
      <c r="J65" s="41" t="s">
        <v>593</v>
      </c>
      <c r="K65" s="41" t="s">
        <v>593</v>
      </c>
      <c r="L65" s="41" t="s">
        <v>593</v>
      </c>
      <c r="M65" s="41" t="s">
        <v>593</v>
      </c>
      <c r="N65" s="41" t="s">
        <v>593</v>
      </c>
      <c r="O65" s="41" t="s">
        <v>593</v>
      </c>
    </row>
    <row r="66" spans="1:15">
      <c r="A66" s="44" t="s">
        <v>600</v>
      </c>
      <c r="B66" s="41">
        <v>0.4</v>
      </c>
      <c r="C66" s="41" t="s">
        <v>592</v>
      </c>
      <c r="D66" s="41" t="s">
        <v>592</v>
      </c>
      <c r="E66" s="41" t="s">
        <v>592</v>
      </c>
      <c r="F66" s="41" t="s">
        <v>593</v>
      </c>
      <c r="G66" s="41" t="s">
        <v>592</v>
      </c>
      <c r="H66" s="41" t="s">
        <v>593</v>
      </c>
      <c r="I66" s="41" t="s">
        <v>593</v>
      </c>
      <c r="J66" s="41" t="s">
        <v>593</v>
      </c>
      <c r="K66" s="41" t="s">
        <v>593</v>
      </c>
      <c r="L66" s="41" t="s">
        <v>593</v>
      </c>
      <c r="M66" s="41" t="s">
        <v>593</v>
      </c>
      <c r="N66" s="41" t="s">
        <v>593</v>
      </c>
      <c r="O66" s="41" t="s">
        <v>593</v>
      </c>
    </row>
    <row r="67" spans="1:15">
      <c r="A67" s="43" t="s">
        <v>602</v>
      </c>
      <c r="B67" s="41">
        <v>3.6</v>
      </c>
      <c r="C67" s="41" t="s">
        <v>592</v>
      </c>
      <c r="D67" s="41" t="s">
        <v>592</v>
      </c>
      <c r="E67" s="41" t="s">
        <v>592</v>
      </c>
      <c r="F67" s="41" t="s">
        <v>593</v>
      </c>
      <c r="G67" s="41" t="s">
        <v>593</v>
      </c>
      <c r="H67" s="41" t="s">
        <v>592</v>
      </c>
      <c r="I67" s="41" t="s">
        <v>593</v>
      </c>
      <c r="J67" s="41" t="s">
        <v>593</v>
      </c>
      <c r="K67" s="41" t="s">
        <v>593</v>
      </c>
      <c r="L67" s="41" t="s">
        <v>593</v>
      </c>
      <c r="M67" s="41" t="s">
        <v>593</v>
      </c>
      <c r="N67" s="41" t="s">
        <v>593</v>
      </c>
      <c r="O67" s="41" t="s">
        <v>593</v>
      </c>
    </row>
    <row r="68" spans="1:15">
      <c r="A68" s="43" t="s">
        <v>604</v>
      </c>
      <c r="B68" s="41">
        <v>0.2</v>
      </c>
      <c r="C68" s="41" t="s">
        <v>592</v>
      </c>
      <c r="D68" s="41" t="s">
        <v>592</v>
      </c>
      <c r="E68" s="41" t="s">
        <v>592</v>
      </c>
      <c r="F68" s="41" t="s">
        <v>593</v>
      </c>
      <c r="G68" s="41" t="s">
        <v>593</v>
      </c>
      <c r="H68" s="41" t="s">
        <v>592</v>
      </c>
      <c r="I68" s="41" t="s">
        <v>593</v>
      </c>
      <c r="J68" s="41" t="s">
        <v>593</v>
      </c>
      <c r="K68" s="41" t="s">
        <v>593</v>
      </c>
      <c r="L68" s="41" t="s">
        <v>593</v>
      </c>
      <c r="M68" s="41" t="s">
        <v>593</v>
      </c>
      <c r="N68" s="41" t="s">
        <v>593</v>
      </c>
      <c r="O68" s="41" t="s">
        <v>593</v>
      </c>
    </row>
    <row r="69" spans="1:15">
      <c r="A69" s="43"/>
      <c r="B69" s="41"/>
      <c r="C69" s="41"/>
      <c r="D69" s="41"/>
      <c r="E69" s="41"/>
      <c r="F69" s="41"/>
      <c r="G69" s="41"/>
      <c r="H69" s="41"/>
      <c r="I69" s="41"/>
      <c r="J69" s="41"/>
      <c r="K69" s="41"/>
      <c r="L69" s="41"/>
      <c r="M69" s="41"/>
      <c r="N69" s="41"/>
      <c r="O69" s="41"/>
    </row>
    <row r="70" spans="1:15">
      <c r="A70" s="42" t="s">
        <v>609</v>
      </c>
      <c r="B70" s="41"/>
      <c r="C70" s="41"/>
      <c r="D70" s="41"/>
      <c r="E70" s="41"/>
      <c r="F70" s="41"/>
      <c r="G70" s="41"/>
      <c r="H70" s="41"/>
      <c r="I70" s="41"/>
      <c r="J70" s="41"/>
      <c r="K70" s="41"/>
      <c r="L70" s="41"/>
      <c r="M70" s="41"/>
      <c r="N70" s="41"/>
      <c r="O70" s="41"/>
    </row>
    <row r="71" spans="1:15">
      <c r="A71" s="42" t="s">
        <v>597</v>
      </c>
      <c r="B71" s="41"/>
      <c r="C71" s="41"/>
      <c r="D71" s="41"/>
      <c r="E71" s="41"/>
      <c r="F71" s="41"/>
      <c r="G71" s="41"/>
      <c r="H71" s="41"/>
      <c r="I71" s="41"/>
      <c r="J71" s="41"/>
      <c r="K71" s="41"/>
      <c r="L71" s="41"/>
      <c r="M71" s="41"/>
      <c r="N71" s="41"/>
      <c r="O71" s="41"/>
    </row>
    <row r="72" spans="1:15">
      <c r="A72" s="43" t="s">
        <v>598</v>
      </c>
      <c r="B72" s="41">
        <v>1.4</v>
      </c>
      <c r="C72" s="41">
        <v>0.5</v>
      </c>
      <c r="D72" s="41">
        <v>0.5</v>
      </c>
      <c r="E72" s="41" t="s">
        <v>592</v>
      </c>
      <c r="F72" s="41" t="s">
        <v>592</v>
      </c>
      <c r="G72" s="41" t="s">
        <v>592</v>
      </c>
      <c r="H72" s="41" t="s">
        <v>592</v>
      </c>
      <c r="I72" s="41">
        <v>0.2</v>
      </c>
      <c r="J72" s="41" t="s">
        <v>592</v>
      </c>
      <c r="K72" s="41" t="s">
        <v>592</v>
      </c>
      <c r="L72" s="41" t="s">
        <v>592</v>
      </c>
      <c r="M72" s="41" t="s">
        <v>592</v>
      </c>
      <c r="N72" s="41" t="s">
        <v>592</v>
      </c>
      <c r="O72" s="41" t="s">
        <v>593</v>
      </c>
    </row>
    <row r="73" spans="1:15">
      <c r="A73" s="44" t="s">
        <v>599</v>
      </c>
      <c r="B73" s="41">
        <v>0.5</v>
      </c>
      <c r="C73" s="41">
        <v>0.2</v>
      </c>
      <c r="D73" s="41">
        <v>0.1</v>
      </c>
      <c r="E73" s="41" t="s">
        <v>592</v>
      </c>
      <c r="F73" s="41" t="s">
        <v>592</v>
      </c>
      <c r="G73" s="41" t="s">
        <v>592</v>
      </c>
      <c r="H73" s="41" t="s">
        <v>592</v>
      </c>
      <c r="I73" s="41" t="s">
        <v>592</v>
      </c>
      <c r="J73" s="41" t="s">
        <v>592</v>
      </c>
      <c r="K73" s="41" t="s">
        <v>593</v>
      </c>
      <c r="L73" s="41" t="s">
        <v>592</v>
      </c>
      <c r="M73" s="41" t="s">
        <v>593</v>
      </c>
      <c r="N73" s="41" t="s">
        <v>593</v>
      </c>
      <c r="O73" s="41" t="s">
        <v>593</v>
      </c>
    </row>
    <row r="74" spans="1:15">
      <c r="A74" s="44" t="s">
        <v>600</v>
      </c>
      <c r="B74" s="41">
        <v>0.9</v>
      </c>
      <c r="C74" s="41">
        <v>0.4</v>
      </c>
      <c r="D74" s="41">
        <v>0.3</v>
      </c>
      <c r="E74" s="41" t="s">
        <v>592</v>
      </c>
      <c r="F74" s="41" t="s">
        <v>592</v>
      </c>
      <c r="G74" s="41" t="s">
        <v>592</v>
      </c>
      <c r="H74" s="41" t="s">
        <v>592</v>
      </c>
      <c r="I74" s="41" t="s">
        <v>592</v>
      </c>
      <c r="J74" s="41" t="s">
        <v>592</v>
      </c>
      <c r="K74" s="41" t="s">
        <v>592</v>
      </c>
      <c r="L74" s="41" t="s">
        <v>592</v>
      </c>
      <c r="M74" s="41" t="s">
        <v>592</v>
      </c>
      <c r="N74" s="41" t="s">
        <v>592</v>
      </c>
      <c r="O74" s="41" t="s">
        <v>593</v>
      </c>
    </row>
    <row r="75" spans="1:15">
      <c r="A75" s="43" t="s">
        <v>604</v>
      </c>
      <c r="B75" s="41">
        <v>0.3</v>
      </c>
      <c r="C75" s="41" t="s">
        <v>592</v>
      </c>
      <c r="D75" s="41" t="s">
        <v>592</v>
      </c>
      <c r="E75" s="41" t="s">
        <v>592</v>
      </c>
      <c r="F75" s="41" t="s">
        <v>593</v>
      </c>
      <c r="G75" s="41" t="s">
        <v>592</v>
      </c>
      <c r="H75" s="41" t="s">
        <v>593</v>
      </c>
      <c r="I75" s="41" t="s">
        <v>592</v>
      </c>
      <c r="J75" s="41" t="s">
        <v>593</v>
      </c>
      <c r="K75" s="41" t="s">
        <v>593</v>
      </c>
      <c r="L75" s="41" t="s">
        <v>593</v>
      </c>
      <c r="M75" s="41" t="s">
        <v>593</v>
      </c>
      <c r="N75" s="41" t="s">
        <v>593</v>
      </c>
      <c r="O75" s="41" t="s">
        <v>593</v>
      </c>
    </row>
    <row r="76" spans="1:15">
      <c r="A76" s="45"/>
      <c r="B76" s="46"/>
      <c r="C76" s="46"/>
      <c r="D76" s="46"/>
      <c r="E76" s="46"/>
      <c r="F76" s="46"/>
      <c r="G76" s="46"/>
      <c r="H76" s="45"/>
      <c r="I76" s="45"/>
      <c r="J76" s="45"/>
      <c r="K76" s="45"/>
      <c r="L76" s="45"/>
      <c r="M76" s="45"/>
      <c r="N76" s="45"/>
      <c r="O76" s="45"/>
    </row>
    <row r="77" spans="1:15">
      <c r="B77" s="41"/>
      <c r="C77" s="41"/>
      <c r="D77" s="41"/>
      <c r="E77" s="41"/>
      <c r="F77" s="41"/>
      <c r="G77" s="41"/>
    </row>
    <row r="78" spans="1:15">
      <c r="A78" s="1166" t="s">
        <v>610</v>
      </c>
      <c r="B78" s="1166"/>
      <c r="C78" s="1166"/>
      <c r="D78" s="1166"/>
      <c r="E78" s="1166"/>
      <c r="F78" s="1166"/>
      <c r="G78" s="1166"/>
      <c r="H78" s="1166"/>
      <c r="I78" s="1166"/>
      <c r="J78" s="1166"/>
      <c r="K78" s="1166"/>
      <c r="L78" s="1166"/>
      <c r="M78" s="1166"/>
      <c r="N78" s="1166"/>
      <c r="O78" s="1166"/>
    </row>
    <row r="79" spans="1:15">
      <c r="A79" s="1166"/>
      <c r="B79" s="1166"/>
      <c r="C79" s="1166"/>
      <c r="D79" s="1166"/>
      <c r="E79" s="1166"/>
      <c r="F79" s="1166"/>
      <c r="G79" s="1166"/>
      <c r="H79" s="1166"/>
      <c r="I79" s="1166"/>
      <c r="J79" s="1166"/>
      <c r="K79" s="1166"/>
      <c r="L79" s="1166"/>
      <c r="M79" s="1166"/>
      <c r="N79" s="1166"/>
      <c r="O79" s="1166"/>
    </row>
    <row r="80" spans="1:15">
      <c r="A80" s="1166"/>
      <c r="B80" s="1166"/>
      <c r="C80" s="1166"/>
      <c r="D80" s="1166"/>
      <c r="E80" s="1166"/>
      <c r="F80" s="1166"/>
      <c r="G80" s="1166"/>
      <c r="H80" s="1166"/>
      <c r="I80" s="1166"/>
      <c r="J80" s="1166"/>
      <c r="K80" s="1166"/>
      <c r="L80" s="1166"/>
      <c r="M80" s="1166"/>
      <c r="N80" s="1166"/>
      <c r="O80" s="1166"/>
    </row>
    <row r="81" spans="1:15">
      <c r="A81" s="1166"/>
      <c r="B81" s="1166"/>
      <c r="C81" s="1166"/>
      <c r="D81" s="1166"/>
      <c r="E81" s="1166"/>
      <c r="F81" s="1166"/>
      <c r="G81" s="1166"/>
      <c r="H81" s="1166"/>
      <c r="I81" s="1166"/>
      <c r="J81" s="1166"/>
      <c r="K81" s="1166"/>
      <c r="L81" s="1166"/>
      <c r="M81" s="1166"/>
      <c r="N81" s="1166"/>
      <c r="O81" s="1166"/>
    </row>
    <row r="82" spans="1:15">
      <c r="A82" s="1166"/>
      <c r="B82" s="1166"/>
      <c r="C82" s="1166"/>
      <c r="D82" s="1166"/>
      <c r="E82" s="1166"/>
      <c r="F82" s="1166"/>
      <c r="G82" s="1166"/>
      <c r="H82" s="1166"/>
      <c r="I82" s="1166"/>
      <c r="J82" s="1166"/>
      <c r="K82" s="1166"/>
      <c r="L82" s="1166"/>
      <c r="M82" s="1166"/>
      <c r="N82" s="1166"/>
      <c r="O82" s="1166"/>
    </row>
    <row r="83" spans="1:15">
      <c r="A83" s="1166"/>
      <c r="B83" s="1166"/>
      <c r="C83" s="1166"/>
      <c r="D83" s="1166"/>
      <c r="E83" s="1166"/>
      <c r="F83" s="1166"/>
      <c r="G83" s="1166"/>
      <c r="H83" s="1166"/>
      <c r="I83" s="1166"/>
      <c r="J83" s="1166"/>
      <c r="K83" s="1166"/>
      <c r="L83" s="1166"/>
      <c r="M83" s="1166"/>
      <c r="N83" s="1166"/>
      <c r="O83" s="1166"/>
    </row>
    <row r="84" spans="1:15">
      <c r="A84" s="1166"/>
      <c r="B84" s="1166"/>
      <c r="C84" s="1166"/>
      <c r="D84" s="1166"/>
      <c r="E84" s="1166"/>
      <c r="F84" s="1166"/>
      <c r="G84" s="1166"/>
      <c r="H84" s="1166"/>
      <c r="I84" s="1166"/>
      <c r="J84" s="1166"/>
      <c r="K84" s="1166"/>
      <c r="L84" s="1166"/>
      <c r="M84" s="1166"/>
      <c r="N84" s="1166"/>
      <c r="O84" s="1166"/>
    </row>
    <row r="85" spans="1:15">
      <c r="A85" s="1166"/>
      <c r="B85" s="1166"/>
      <c r="C85" s="1166"/>
      <c r="D85" s="1166"/>
      <c r="E85" s="1166"/>
      <c r="F85" s="1166"/>
      <c r="G85" s="1166"/>
      <c r="H85" s="1166"/>
      <c r="I85" s="1166"/>
      <c r="J85" s="1166"/>
      <c r="K85" s="1166"/>
      <c r="L85" s="1166"/>
      <c r="M85" s="1166"/>
      <c r="N85" s="1166"/>
      <c r="O85" s="1166"/>
    </row>
    <row r="86" spans="1:15">
      <c r="A86" s="1166"/>
      <c r="B86" s="1166"/>
      <c r="C86" s="1166"/>
      <c r="D86" s="1166"/>
      <c r="E86" s="1166"/>
      <c r="F86" s="1166"/>
      <c r="G86" s="1166"/>
      <c r="H86" s="1166"/>
      <c r="I86" s="1166"/>
      <c r="J86" s="1166"/>
      <c r="K86" s="1166"/>
      <c r="L86" s="1166"/>
      <c r="M86" s="1166"/>
      <c r="N86" s="1166"/>
      <c r="O86" s="1166"/>
    </row>
    <row r="87" spans="1:15">
      <c r="A87" s="1166"/>
      <c r="B87" s="1166"/>
      <c r="C87" s="1166"/>
      <c r="D87" s="1166"/>
      <c r="E87" s="1166"/>
      <c r="F87" s="1166"/>
      <c r="G87" s="1166"/>
      <c r="H87" s="1166"/>
      <c r="I87" s="1166"/>
      <c r="J87" s="1166"/>
      <c r="K87" s="1166"/>
      <c r="L87" s="1166"/>
      <c r="M87" s="1166"/>
      <c r="N87" s="1166"/>
      <c r="O87" s="1166"/>
    </row>
    <row r="88" spans="1:15">
      <c r="A88" s="1166"/>
      <c r="B88" s="1166"/>
      <c r="C88" s="1166"/>
      <c r="D88" s="1166"/>
      <c r="E88" s="1166"/>
      <c r="F88" s="1166"/>
      <c r="G88" s="1166"/>
      <c r="H88" s="1166"/>
      <c r="I88" s="1166"/>
      <c r="J88" s="1166"/>
      <c r="K88" s="1166"/>
      <c r="L88" s="1166"/>
      <c r="M88" s="1166"/>
      <c r="N88" s="1166"/>
      <c r="O88" s="1166"/>
    </row>
    <row r="89" spans="1:15">
      <c r="A89" s="1166"/>
      <c r="B89" s="1166"/>
      <c r="C89" s="1166"/>
      <c r="D89" s="1166"/>
      <c r="E89" s="1166"/>
      <c r="F89" s="1166"/>
      <c r="G89" s="1166"/>
      <c r="H89" s="1166"/>
      <c r="I89" s="1166"/>
      <c r="J89" s="1166"/>
      <c r="K89" s="1166"/>
      <c r="L89" s="1166"/>
      <c r="M89" s="1166"/>
      <c r="N89" s="1166"/>
      <c r="O89" s="1166"/>
    </row>
  </sheetData>
  <mergeCells count="13">
    <mergeCell ref="A78:O89"/>
    <mergeCell ref="B12:B14"/>
    <mergeCell ref="D12:D14"/>
    <mergeCell ref="C13:C14"/>
    <mergeCell ref="H13:H14"/>
    <mergeCell ref="L13:L14"/>
    <mergeCell ref="O13:O14"/>
    <mergeCell ref="C7:O8"/>
    <mergeCell ref="D9:I10"/>
    <mergeCell ref="J9:L10"/>
    <mergeCell ref="M9:O10"/>
    <mergeCell ref="J11:J14"/>
    <mergeCell ref="M11:M14"/>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Q79"/>
  <sheetViews>
    <sheetView topLeftCell="A60" workbookViewId="0">
      <selection activeCell="D42" sqref="D42"/>
    </sheetView>
  </sheetViews>
  <sheetFormatPr defaultRowHeight="15"/>
  <cols>
    <col min="1" max="1" width="21.85546875" customWidth="1"/>
    <col min="2" max="2" width="26.140625" bestFit="1" customWidth="1"/>
    <col min="3" max="3" width="18.140625" customWidth="1"/>
    <col min="4" max="4" width="14.7109375" style="150" bestFit="1" customWidth="1"/>
    <col min="5" max="6" width="11.42578125" style="55" customWidth="1"/>
    <col min="7" max="7" width="12" bestFit="1" customWidth="1"/>
    <col min="8" max="8" width="18" bestFit="1" customWidth="1"/>
    <col min="9" max="10" width="12.5703125" bestFit="1" customWidth="1"/>
    <col min="11" max="11" width="14.7109375" customWidth="1"/>
    <col min="12" max="12" width="11.85546875" bestFit="1" customWidth="1"/>
    <col min="13" max="13" width="11.28515625" customWidth="1"/>
    <col min="14" max="14" width="14.5703125" bestFit="1" customWidth="1"/>
    <col min="15" max="15" width="19.7109375" bestFit="1" customWidth="1"/>
    <col min="16" max="16" width="4.5703125" customWidth="1"/>
  </cols>
  <sheetData>
    <row r="1" spans="1:17">
      <c r="A1" s="1" t="s">
        <v>0</v>
      </c>
      <c r="B1" s="1"/>
      <c r="C1" s="150"/>
      <c r="D1" s="55"/>
      <c r="E1"/>
      <c r="F1"/>
      <c r="Q1" t="s">
        <v>2</v>
      </c>
    </row>
    <row r="2" spans="1:17">
      <c r="C2" s="150"/>
      <c r="D2" s="55"/>
      <c r="E2"/>
      <c r="F2"/>
      <c r="J2" s="226"/>
      <c r="Q2" t="s">
        <v>866</v>
      </c>
    </row>
    <row r="3" spans="1:17">
      <c r="A3" s="2" t="s">
        <v>693</v>
      </c>
      <c r="B3" s="2"/>
      <c r="C3" s="150"/>
      <c r="D3" s="55"/>
      <c r="E3"/>
      <c r="F3"/>
      <c r="Q3" t="s">
        <v>588</v>
      </c>
    </row>
    <row r="4" spans="1:17" s="55" customFormat="1" ht="17.25" customHeight="1">
      <c r="B4" s="636"/>
      <c r="C4" s="636"/>
      <c r="D4" s="150"/>
      <c r="G4" s="1035" t="s">
        <v>774</v>
      </c>
      <c r="H4" s="1036"/>
      <c r="I4" s="1035" t="s">
        <v>775</v>
      </c>
      <c r="J4" s="1037"/>
      <c r="K4" s="1036"/>
      <c r="L4" s="1035" t="s">
        <v>776</v>
      </c>
      <c r="M4" s="1037"/>
      <c r="N4" s="1036"/>
      <c r="Q4" s="55" t="s">
        <v>867</v>
      </c>
    </row>
    <row r="5" spans="1:17" s="151" customFormat="1" ht="31.5" customHeight="1">
      <c r="A5" s="172" t="s">
        <v>58</v>
      </c>
      <c r="B5" s="167" t="s">
        <v>1</v>
      </c>
      <c r="C5" s="168" t="s">
        <v>54</v>
      </c>
      <c r="D5" s="480" t="s">
        <v>695</v>
      </c>
      <c r="E5" s="1041" t="s">
        <v>696</v>
      </c>
      <c r="F5" s="1042"/>
      <c r="G5" s="170" t="s">
        <v>777</v>
      </c>
      <c r="H5" s="171" t="s">
        <v>778</v>
      </c>
      <c r="I5" s="170" t="s">
        <v>777</v>
      </c>
      <c r="J5" s="168" t="s">
        <v>778</v>
      </c>
      <c r="K5" s="174" t="s">
        <v>780</v>
      </c>
      <c r="L5" s="170" t="s">
        <v>777</v>
      </c>
      <c r="M5" s="168" t="s">
        <v>778</v>
      </c>
      <c r="N5" s="174" t="s">
        <v>780</v>
      </c>
      <c r="O5" s="171" t="s">
        <v>779</v>
      </c>
    </row>
    <row r="6" spans="1:17" s="150" customFormat="1" ht="15" customHeight="1">
      <c r="A6" s="165" t="s">
        <v>59</v>
      </c>
      <c r="B6" s="152" t="s">
        <v>773</v>
      </c>
      <c r="C6" s="153" t="s">
        <v>55</v>
      </c>
      <c r="D6" s="260">
        <f>'ATMOS NG Calculations'!I13</f>
        <v>264743.50116139062</v>
      </c>
      <c r="E6" s="1043">
        <f>1.023*D6</f>
        <v>270832.60168810259</v>
      </c>
      <c r="F6" s="1044"/>
      <c r="G6" s="152">
        <v>52.91</v>
      </c>
      <c r="H6" s="161">
        <f>G6*E6</f>
        <v>14329752.955317507</v>
      </c>
      <c r="I6" s="152">
        <v>5.0000000000000001E-3</v>
      </c>
      <c r="J6" s="164">
        <f>I6*$E6</f>
        <v>1354.1630084405131</v>
      </c>
      <c r="K6" s="161">
        <f>J6*24</f>
        <v>32499.912202572312</v>
      </c>
      <c r="L6" s="152">
        <v>1E-4</v>
      </c>
      <c r="M6" s="164">
        <f>L6*$E6</f>
        <v>27.083260168810259</v>
      </c>
      <c r="N6" s="161">
        <f>M6*310</f>
        <v>8395.8106523311799</v>
      </c>
      <c r="O6" s="483">
        <f>SUM(H6,K6,N6)</f>
        <v>14370648.67817241</v>
      </c>
    </row>
    <row r="7" spans="1:17" s="150" customFormat="1" ht="15" customHeight="1">
      <c r="A7" s="165" t="s">
        <v>59</v>
      </c>
      <c r="B7" s="152" t="s">
        <v>773</v>
      </c>
      <c r="C7" s="153" t="s">
        <v>56</v>
      </c>
      <c r="D7" s="260">
        <f>'ATMOS NG Calculations'!I14</f>
        <v>176775.32557012688</v>
      </c>
      <c r="E7" s="1045">
        <f t="shared" ref="E7:E9" si="0">1.023*D7</f>
        <v>180841.15805823979</v>
      </c>
      <c r="F7" s="1046"/>
      <c r="G7" s="152">
        <v>52.91</v>
      </c>
      <c r="H7" s="161">
        <f>G7*E7</f>
        <v>9568305.6728614662</v>
      </c>
      <c r="I7" s="152">
        <v>5.0000000000000001E-3</v>
      </c>
      <c r="J7" s="164">
        <f t="shared" ref="J7:J9" si="1">I7*$E7</f>
        <v>904.20579029119892</v>
      </c>
      <c r="K7" s="161">
        <f t="shared" ref="K7:K9" si="2">J7*24</f>
        <v>21700.938966988775</v>
      </c>
      <c r="L7" s="152">
        <v>1E-4</v>
      </c>
      <c r="M7" s="164">
        <f t="shared" ref="M7:M9" si="3">L7*$E7</f>
        <v>18.084115805823981</v>
      </c>
      <c r="N7" s="161">
        <f t="shared" ref="N7:N9" si="4">M7*310</f>
        <v>5606.0758998054343</v>
      </c>
      <c r="O7" s="483">
        <f t="shared" ref="O7:O9" si="5">SUM(H7,K7,N7)</f>
        <v>9595612.6877282616</v>
      </c>
    </row>
    <row r="8" spans="1:17" s="150" customFormat="1" ht="15" customHeight="1">
      <c r="A8" s="165" t="s">
        <v>59</v>
      </c>
      <c r="B8" s="152" t="s">
        <v>773</v>
      </c>
      <c r="C8" s="153" t="s">
        <v>57</v>
      </c>
      <c r="D8" s="260">
        <f>'ATMOS NG Calculations'!I18</f>
        <v>313190.4159533073</v>
      </c>
      <c r="E8" s="1045">
        <f t="shared" si="0"/>
        <v>320393.79552023334</v>
      </c>
      <c r="F8" s="1046"/>
      <c r="G8" s="152">
        <v>52.91</v>
      </c>
      <c r="H8" s="161">
        <f>G8*E8</f>
        <v>16952035.720975544</v>
      </c>
      <c r="I8" s="152">
        <v>1E-4</v>
      </c>
      <c r="J8" s="164">
        <f t="shared" si="1"/>
        <v>32.039379552023334</v>
      </c>
      <c r="K8" s="161">
        <f t="shared" si="2"/>
        <v>768.94510924856002</v>
      </c>
      <c r="L8" s="152">
        <v>1E-4</v>
      </c>
      <c r="M8" s="164">
        <f t="shared" si="3"/>
        <v>32.039379552023334</v>
      </c>
      <c r="N8" s="161">
        <f t="shared" si="4"/>
        <v>9932.2076611272332</v>
      </c>
      <c r="O8" s="483">
        <f t="shared" si="5"/>
        <v>16962736.873745918</v>
      </c>
    </row>
    <row r="9" spans="1:17" s="150" customFormat="1" ht="15" customHeight="1">
      <c r="A9" s="166" t="s">
        <v>59</v>
      </c>
      <c r="B9" s="157" t="s">
        <v>773</v>
      </c>
      <c r="C9" s="158" t="s">
        <v>2267</v>
      </c>
      <c r="D9" s="261">
        <f>'ATMOS NG Calculations'!I19</f>
        <v>41138.400000000001</v>
      </c>
      <c r="E9" s="1047">
        <f t="shared" si="0"/>
        <v>42084.583200000001</v>
      </c>
      <c r="F9" s="1048"/>
      <c r="G9" s="157">
        <v>52.91</v>
      </c>
      <c r="H9" s="162">
        <f>G9*E9</f>
        <v>2226695.2971119997</v>
      </c>
      <c r="I9" s="157">
        <v>5.0000000000000001E-3</v>
      </c>
      <c r="J9" s="173">
        <f t="shared" si="1"/>
        <v>210.42291600000001</v>
      </c>
      <c r="K9" s="162">
        <f t="shared" si="2"/>
        <v>5050.1499840000006</v>
      </c>
      <c r="L9" s="157">
        <v>1E-4</v>
      </c>
      <c r="M9" s="173">
        <f t="shared" si="3"/>
        <v>4.2084583200000001</v>
      </c>
      <c r="N9" s="162">
        <f t="shared" si="4"/>
        <v>1304.6220791999999</v>
      </c>
      <c r="O9" s="484">
        <f t="shared" si="5"/>
        <v>2233050.0691751996</v>
      </c>
    </row>
    <row r="10" spans="1:17" s="150" customFormat="1" ht="15" customHeight="1">
      <c r="A10" s="153"/>
      <c r="B10" s="153"/>
      <c r="C10" s="167" t="s">
        <v>863</v>
      </c>
      <c r="D10" s="479">
        <f>SUM(D6:D9)</f>
        <v>795847.64268482488</v>
      </c>
      <c r="E10" s="1025">
        <f>SUM(E6:E9)</f>
        <v>814152.13846657565</v>
      </c>
      <c r="F10" s="1026"/>
      <c r="G10" s="481"/>
      <c r="H10" s="282">
        <f t="shared" ref="H10:O10" si="6">SUM(H6:H9)</f>
        <v>43076789.64626652</v>
      </c>
      <c r="I10" s="482"/>
      <c r="J10" s="281">
        <f t="shared" si="6"/>
        <v>2500.8310942837356</v>
      </c>
      <c r="K10" s="282">
        <f t="shared" si="6"/>
        <v>60019.946262809652</v>
      </c>
      <c r="L10" s="485"/>
      <c r="M10" s="281">
        <f t="shared" si="6"/>
        <v>81.415213846657579</v>
      </c>
      <c r="N10" s="282">
        <f t="shared" si="6"/>
        <v>25238.716292463843</v>
      </c>
      <c r="O10" s="282">
        <f t="shared" si="6"/>
        <v>43162048.30882179</v>
      </c>
    </row>
    <row r="11" spans="1:17" s="153" customFormat="1" ht="15" customHeight="1">
      <c r="D11" s="154"/>
      <c r="E11" s="163"/>
      <c r="F11" s="163"/>
      <c r="H11" s="155"/>
    </row>
    <row r="12" spans="1:17" s="150" customFormat="1" ht="18" customHeight="1">
      <c r="G12" s="1035" t="s">
        <v>774</v>
      </c>
      <c r="H12" s="1036"/>
      <c r="I12" s="1035" t="s">
        <v>775</v>
      </c>
      <c r="J12" s="1037"/>
      <c r="K12" s="1036"/>
      <c r="L12" s="1035" t="s">
        <v>776</v>
      </c>
      <c r="M12" s="1037"/>
      <c r="N12" s="1036"/>
    </row>
    <row r="13" spans="1:17" s="151" customFormat="1" ht="34.5" customHeight="1">
      <c r="A13" s="172" t="s">
        <v>58</v>
      </c>
      <c r="B13" s="167" t="s">
        <v>1</v>
      </c>
      <c r="C13" s="168" t="s">
        <v>54</v>
      </c>
      <c r="D13" s="172"/>
      <c r="E13" s="1041" t="s">
        <v>696</v>
      </c>
      <c r="F13" s="1042"/>
      <c r="G13" s="170" t="s">
        <v>777</v>
      </c>
      <c r="H13" s="171" t="s">
        <v>778</v>
      </c>
      <c r="I13" s="170" t="s">
        <v>777</v>
      </c>
      <c r="J13" s="168" t="s">
        <v>778</v>
      </c>
      <c r="K13" s="174" t="s">
        <v>780</v>
      </c>
      <c r="L13" s="170" t="s">
        <v>777</v>
      </c>
      <c r="M13" s="168" t="s">
        <v>778</v>
      </c>
      <c r="N13" s="174" t="s">
        <v>780</v>
      </c>
      <c r="O13" s="171" t="s">
        <v>779</v>
      </c>
    </row>
    <row r="14" spans="1:17" s="150" customFormat="1" ht="15" customHeight="1">
      <c r="A14" s="165" t="s">
        <v>60</v>
      </c>
      <c r="B14" s="152" t="s">
        <v>686</v>
      </c>
      <c r="C14" s="153" t="s">
        <v>55</v>
      </c>
      <c r="D14" s="165"/>
      <c r="E14" s="1043">
        <f>'BE.1.2 Calculations'!H5*'BE.1.2 Calculations'!B5</f>
        <v>1463</v>
      </c>
      <c r="F14" s="1044"/>
      <c r="G14" s="486">
        <v>62.98</v>
      </c>
      <c r="H14" s="161">
        <f>G14*E14</f>
        <v>92139.739999999991</v>
      </c>
      <c r="I14" s="488">
        <f>0.001/0.092</f>
        <v>1.0869565217391304E-2</v>
      </c>
      <c r="J14" s="164">
        <f>I14*$E14</f>
        <v>15.902173913043478</v>
      </c>
      <c r="K14" s="161">
        <f>J14*24</f>
        <v>381.6521739130435</v>
      </c>
      <c r="L14" s="488">
        <f>0.0001/0.092</f>
        <v>1.0869565217391304E-3</v>
      </c>
      <c r="M14" s="164">
        <f>L14*$E14</f>
        <v>1.5902173913043478</v>
      </c>
      <c r="N14" s="161">
        <f t="shared" ref="N14:N16" si="7">M14*310</f>
        <v>492.96739130434781</v>
      </c>
      <c r="O14" s="483">
        <f>SUM(H14,K14,N14)</f>
        <v>93014.359565217383</v>
      </c>
    </row>
    <row r="15" spans="1:17" s="150" customFormat="1" ht="15" customHeight="1">
      <c r="A15" s="165" t="s">
        <v>60</v>
      </c>
      <c r="B15" s="152" t="s">
        <v>685</v>
      </c>
      <c r="C15" s="153" t="s">
        <v>55</v>
      </c>
      <c r="D15" s="165"/>
      <c r="E15" s="1045">
        <f>'BE.1.2 Calculations'!H6*'BE.1.2 Calculations'!B6</f>
        <v>34503</v>
      </c>
      <c r="F15" s="1046"/>
      <c r="G15" s="486">
        <v>73.959999999999994</v>
      </c>
      <c r="H15" s="161">
        <f>G15*E15</f>
        <v>2551841.88</v>
      </c>
      <c r="I15" s="488">
        <f>0.0015/0.138</f>
        <v>1.0869565217391304E-2</v>
      </c>
      <c r="J15" s="164">
        <f t="shared" ref="J15:J16" si="8">I15*$E15</f>
        <v>375.03260869565219</v>
      </c>
      <c r="K15" s="161">
        <f t="shared" ref="K15:K16" si="9">J15*24</f>
        <v>9000.782608695652</v>
      </c>
      <c r="L15" s="488">
        <f>0.0001/0.138</f>
        <v>7.246376811594203E-4</v>
      </c>
      <c r="M15" s="164">
        <f t="shared" ref="M15:M16" si="10">L15*$E15</f>
        <v>25.002173913043478</v>
      </c>
      <c r="N15" s="161">
        <f t="shared" si="7"/>
        <v>7750.673913043478</v>
      </c>
      <c r="O15" s="483">
        <f t="shared" ref="O15:O16" si="11">SUM(H15,K15,N15)</f>
        <v>2568593.3365217391</v>
      </c>
    </row>
    <row r="16" spans="1:17" s="150" customFormat="1" ht="15" customHeight="1">
      <c r="A16" s="166" t="s">
        <v>60</v>
      </c>
      <c r="B16" s="157" t="s">
        <v>590</v>
      </c>
      <c r="C16" s="158" t="s">
        <v>55</v>
      </c>
      <c r="D16" s="166"/>
      <c r="E16" s="1047">
        <f>'BE.1.2 Calculations'!H7*'BE.1.2 Calculations'!B7</f>
        <v>1788</v>
      </c>
      <c r="F16" s="1048"/>
      <c r="G16" s="487">
        <v>93.8</v>
      </c>
      <c r="H16" s="162">
        <f>G16*E16</f>
        <v>167714.4</v>
      </c>
      <c r="I16" s="489">
        <v>0.316</v>
      </c>
      <c r="J16" s="173">
        <f t="shared" si="8"/>
        <v>565.00800000000004</v>
      </c>
      <c r="K16" s="162">
        <f t="shared" si="9"/>
        <v>13560.192000000001</v>
      </c>
      <c r="L16" s="489">
        <v>4.1999999999999997E-3</v>
      </c>
      <c r="M16" s="173">
        <f t="shared" si="10"/>
        <v>7.5095999999999998</v>
      </c>
      <c r="N16" s="162">
        <f t="shared" si="7"/>
        <v>2327.9760000000001</v>
      </c>
      <c r="O16" s="484">
        <f t="shared" si="11"/>
        <v>183602.568</v>
      </c>
    </row>
    <row r="17" spans="1:17" s="150" customFormat="1" ht="15" customHeight="1">
      <c r="B17" s="153"/>
      <c r="C17" s="167" t="s">
        <v>863</v>
      </c>
      <c r="D17" s="479"/>
      <c r="E17" s="1025">
        <f>SUM(E14:E16)</f>
        <v>37754</v>
      </c>
      <c r="F17" s="1026"/>
      <c r="G17" s="485"/>
      <c r="H17" s="282">
        <f t="shared" ref="H17:O17" si="12">SUM(H14:H16)</f>
        <v>2811696.02</v>
      </c>
      <c r="I17" s="485"/>
      <c r="J17" s="281">
        <f t="shared" si="12"/>
        <v>955.94278260869578</v>
      </c>
      <c r="K17" s="282">
        <f t="shared" si="12"/>
        <v>22942.626782608699</v>
      </c>
      <c r="L17" s="485"/>
      <c r="M17" s="281">
        <f t="shared" si="12"/>
        <v>34.101991304347827</v>
      </c>
      <c r="N17" s="282">
        <f t="shared" si="12"/>
        <v>10571.617304347827</v>
      </c>
      <c r="O17" s="282">
        <f t="shared" si="12"/>
        <v>2845210.2640869566</v>
      </c>
    </row>
    <row r="18" spans="1:17" ht="15" customHeight="1">
      <c r="A18" s="2" t="s">
        <v>694</v>
      </c>
      <c r="C18" s="150"/>
      <c r="D18" s="55"/>
      <c r="E18"/>
      <c r="F18"/>
      <c r="Q18" s="697"/>
    </row>
    <row r="19" spans="1:17" ht="18" customHeight="1">
      <c r="B19" s="2"/>
      <c r="G19" s="1035" t="s">
        <v>774</v>
      </c>
      <c r="H19" s="1036"/>
      <c r="I19" s="1037" t="s">
        <v>775</v>
      </c>
      <c r="J19" s="1037"/>
      <c r="K19" s="1036"/>
      <c r="L19" s="1035" t="s">
        <v>776</v>
      </c>
      <c r="M19" s="1037"/>
      <c r="N19" s="1036"/>
      <c r="Q19" s="697"/>
    </row>
    <row r="20" spans="1:17" s="150" customFormat="1" ht="33.75" customHeight="1">
      <c r="A20" s="172" t="s">
        <v>58</v>
      </c>
      <c r="B20" s="167" t="s">
        <v>697</v>
      </c>
      <c r="C20" s="168" t="s">
        <v>54</v>
      </c>
      <c r="D20" s="480" t="s">
        <v>700</v>
      </c>
      <c r="E20" s="1027" t="s">
        <v>696</v>
      </c>
      <c r="F20" s="1028"/>
      <c r="G20" s="170" t="s">
        <v>777</v>
      </c>
      <c r="H20" s="171" t="s">
        <v>778</v>
      </c>
      <c r="I20" s="169" t="s">
        <v>777</v>
      </c>
      <c r="J20" s="168" t="s">
        <v>778</v>
      </c>
      <c r="K20" s="174" t="s">
        <v>780</v>
      </c>
      <c r="L20" s="170" t="s">
        <v>777</v>
      </c>
      <c r="M20" s="168" t="s">
        <v>778</v>
      </c>
      <c r="N20" s="174" t="s">
        <v>780</v>
      </c>
      <c r="O20" s="172" t="s">
        <v>779</v>
      </c>
    </row>
    <row r="21" spans="1:17" s="150" customFormat="1" ht="15" customHeight="1">
      <c r="A21" s="165" t="s">
        <v>699</v>
      </c>
      <c r="B21" s="152" t="s">
        <v>698</v>
      </c>
      <c r="C21" s="153" t="s">
        <v>55</v>
      </c>
      <c r="D21" s="490">
        <f>'2010 - 2012 APCO Billed kWh''s'!N7</f>
        <v>96383103</v>
      </c>
      <c r="E21" s="1029">
        <f>D21*3412.12/1000000</f>
        <v>328870.71340835997</v>
      </c>
      <c r="F21" s="1030"/>
      <c r="G21" s="492">
        <f>'APCO Emission Factors'!I$4*0.454/3412.12*1000</f>
        <v>211.82373421802285</v>
      </c>
      <c r="H21" s="178">
        <f t="shared" ref="H21:H28" si="13">G21*E21</f>
        <v>69662622.589104012</v>
      </c>
      <c r="I21" s="176">
        <f>18.12*0.454/3412.12</f>
        <v>2.4109585829337776E-3</v>
      </c>
      <c r="J21" s="155">
        <f t="shared" ref="J21:J28" si="14">I21*E21</f>
        <v>792.89366916744007</v>
      </c>
      <c r="K21" s="161">
        <f>J21*24</f>
        <v>19029.448060018563</v>
      </c>
      <c r="L21" s="176">
        <f>25.13*0.454/3412.12</f>
        <v>3.3436749000621316E-3</v>
      </c>
      <c r="M21" s="155">
        <f t="shared" ref="M21:M28" si="15">L21*E21</f>
        <v>1099.6367497890599</v>
      </c>
      <c r="N21" s="161">
        <f t="shared" ref="N21:N28" si="16">M21*310</f>
        <v>340887.39243460854</v>
      </c>
      <c r="O21" s="183">
        <f>SUM(H21,K21,N21)</f>
        <v>70022539.429598644</v>
      </c>
    </row>
    <row r="22" spans="1:17" s="150" customFormat="1" ht="15" customHeight="1">
      <c r="A22" s="165" t="s">
        <v>699</v>
      </c>
      <c r="B22" s="152" t="s">
        <v>698</v>
      </c>
      <c r="C22" s="153" t="s">
        <v>56</v>
      </c>
      <c r="D22" s="490">
        <f>SUM('2010 - 2012 APCO Billed kWh''s'!N8:N9)</f>
        <v>50431604</v>
      </c>
      <c r="E22" s="1031">
        <f>D22*3412.12/1000000</f>
        <v>172078.68464047997</v>
      </c>
      <c r="F22" s="1032"/>
      <c r="G22" s="492">
        <f>'APCO Emission Factors'!I$4*0.454/3412.12*1000</f>
        <v>211.82373421802285</v>
      </c>
      <c r="H22" s="178">
        <f t="shared" si="13"/>
        <v>36450349.559872001</v>
      </c>
      <c r="I22" s="176">
        <f t="shared" ref="I22:I28" si="17">18.12*0.454/3412.12</f>
        <v>2.4109585829337776E-3</v>
      </c>
      <c r="J22" s="155">
        <f t="shared" si="14"/>
        <v>414.87458167391998</v>
      </c>
      <c r="K22" s="161">
        <f t="shared" ref="K22:K28" si="18">J22*24</f>
        <v>9956.9899601740799</v>
      </c>
      <c r="L22" s="176">
        <f t="shared" ref="L22:L28" si="19">25.13*0.454/3412.12</f>
        <v>3.3436749000621316E-3</v>
      </c>
      <c r="M22" s="155">
        <f t="shared" si="15"/>
        <v>575.37517866807991</v>
      </c>
      <c r="N22" s="161">
        <f t="shared" si="16"/>
        <v>178366.30538710477</v>
      </c>
      <c r="O22" s="183">
        <f t="shared" ref="O22:O28" si="20">SUM(H22,K22,N22)</f>
        <v>36638672.855219275</v>
      </c>
    </row>
    <row r="23" spans="1:17" s="150" customFormat="1" ht="15" customHeight="1">
      <c r="A23" s="165" t="s">
        <v>699</v>
      </c>
      <c r="B23" s="152" t="s">
        <v>698</v>
      </c>
      <c r="C23" s="153" t="s">
        <v>57</v>
      </c>
      <c r="D23" s="490">
        <f>'2010 - 2012 APCO Billed kWh''s'!N10</f>
        <v>54708017</v>
      </c>
      <c r="E23" s="1031">
        <f>D23*3412.12/1000000</f>
        <v>186670.31896604001</v>
      </c>
      <c r="F23" s="1032"/>
      <c r="G23" s="492">
        <f>'APCO Emission Factors'!I$4*0.454/3412.12*1000</f>
        <v>211.82373421802285</v>
      </c>
      <c r="H23" s="178">
        <f t="shared" si="13"/>
        <v>39541204.031056009</v>
      </c>
      <c r="I23" s="176">
        <f t="shared" si="17"/>
        <v>2.4109585829337776E-3</v>
      </c>
      <c r="J23" s="155">
        <f t="shared" si="14"/>
        <v>450.05440769016008</v>
      </c>
      <c r="K23" s="161">
        <f t="shared" si="18"/>
        <v>10801.305784563841</v>
      </c>
      <c r="L23" s="176">
        <f t="shared" si="19"/>
        <v>3.3436749000621316E-3</v>
      </c>
      <c r="M23" s="155">
        <f t="shared" si="15"/>
        <v>624.16486011334007</v>
      </c>
      <c r="N23" s="161">
        <f t="shared" si="16"/>
        <v>193491.10663513542</v>
      </c>
      <c r="O23" s="183">
        <f t="shared" si="20"/>
        <v>39745496.443475708</v>
      </c>
    </row>
    <row r="24" spans="1:17" s="150" customFormat="1" ht="15" customHeight="1">
      <c r="A24" s="165" t="s">
        <v>699</v>
      </c>
      <c r="B24" s="152" t="s">
        <v>698</v>
      </c>
      <c r="C24" s="153" t="s">
        <v>2267</v>
      </c>
      <c r="D24" s="490">
        <f>SUM('2010 - 2012 APCO Billed kWh''s'!N11:N13)</f>
        <v>9832259</v>
      </c>
      <c r="E24" s="1031">
        <f t="shared" ref="E24:E28" si="21">D24*3412.12/1000000</f>
        <v>33548.84757908</v>
      </c>
      <c r="F24" s="1032"/>
      <c r="G24" s="492">
        <f>'APCO Emission Factors'!I$4*0.454/3412.12*1000</f>
        <v>211.82373421802285</v>
      </c>
      <c r="H24" s="178">
        <f t="shared" si="13"/>
        <v>7106442.1729120016</v>
      </c>
      <c r="I24" s="176">
        <f t="shared" si="17"/>
        <v>2.4109585829337776E-3</v>
      </c>
      <c r="J24" s="155">
        <f t="shared" si="14"/>
        <v>80.884882018320013</v>
      </c>
      <c r="K24" s="161">
        <f t="shared" si="18"/>
        <v>1941.2371684396803</v>
      </c>
      <c r="L24" s="176">
        <f t="shared" si="19"/>
        <v>3.3436749000621316E-3</v>
      </c>
      <c r="M24" s="155">
        <f t="shared" si="15"/>
        <v>112.17643957618</v>
      </c>
      <c r="N24" s="161">
        <f t="shared" si="16"/>
        <v>34774.6962686158</v>
      </c>
      <c r="O24" s="183">
        <f t="shared" si="20"/>
        <v>7143158.1063490575</v>
      </c>
    </row>
    <row r="25" spans="1:17" s="150" customFormat="1" ht="15" customHeight="1">
      <c r="A25" s="165" t="s">
        <v>699</v>
      </c>
      <c r="B25" s="152" t="s">
        <v>717</v>
      </c>
      <c r="C25" s="153" t="s">
        <v>55</v>
      </c>
      <c r="D25" s="490">
        <f>'2012 VTES Billed kWh''s'!C40+'2012 VTES Billed kWh''s'!I40+'2012 VTES Billed kWh''s'!O40+'2012 VTES Billed kWh''s'!U40+'2012 VTES Billed kWh''s'!AA40+'2012 VTES Billed kWh''s'!AG40+'2012 VTES Billed kWh''s'!AM40+'2012 VTES Billed kWh''s'!AS40+'2012 VTES Billed kWh''s'!AY40+'2012 VTES Billed kWh''s'!BE40+'2012 VTES Billed kWh''s'!BK40+'2012 VTES Billed kWh''s'!BQ40</f>
        <v>49570491</v>
      </c>
      <c r="E25" s="1031">
        <f t="shared" si="21"/>
        <v>169140.46375092</v>
      </c>
      <c r="F25" s="1032"/>
      <c r="G25" s="492">
        <f>'APCO Emission Factors'!I$4*0.454/3412.12*1000</f>
        <v>211.82373421802285</v>
      </c>
      <c r="H25" s="178">
        <f t="shared" si="13"/>
        <v>35827964.639088005</v>
      </c>
      <c r="I25" s="176">
        <f t="shared" si="17"/>
        <v>2.4109585829337776E-3</v>
      </c>
      <c r="J25" s="155">
        <f t="shared" si="14"/>
        <v>407.79065280168004</v>
      </c>
      <c r="K25" s="161">
        <f t="shared" si="18"/>
        <v>9786.97566724032</v>
      </c>
      <c r="L25" s="176">
        <f t="shared" si="19"/>
        <v>3.3436749000621316E-3</v>
      </c>
      <c r="M25" s="155">
        <f t="shared" si="15"/>
        <v>565.55072322882006</v>
      </c>
      <c r="N25" s="161">
        <f t="shared" si="16"/>
        <v>175320.72420093423</v>
      </c>
      <c r="O25" s="183">
        <f t="shared" si="20"/>
        <v>36013072.338956177</v>
      </c>
    </row>
    <row r="26" spans="1:17" s="150" customFormat="1" ht="15" customHeight="1">
      <c r="A26" s="165" t="s">
        <v>699</v>
      </c>
      <c r="B26" s="152" t="s">
        <v>717</v>
      </c>
      <c r="C26" s="153" t="s">
        <v>56</v>
      </c>
      <c r="D26" s="490">
        <f>'2012 VTES Billed kWh''s'!C41+'2012 VTES Billed kWh''s'!I41+'2012 VTES Billed kWh''s'!O41+'2012 VTES Billed kWh''s'!U41+'2012 VTES Billed kWh''s'!AA41+'2012 VTES Billed kWh''s'!AG41+'2012 VTES Billed kWh''s'!AM41+'2012 VTES Billed kWh''s'!AS41+'2012 VTES Billed kWh''s'!AY41+'2012 VTES Billed kWh''s'!BE41+'2012 VTES Billed kWh''s'!BK41+'2012 VTES Billed kWh''s'!BQ41</f>
        <v>59607254</v>
      </c>
      <c r="E26" s="1031">
        <f t="shared" si="21"/>
        <v>203387.10351847997</v>
      </c>
      <c r="F26" s="1032"/>
      <c r="G26" s="492">
        <f>'APCO Emission Factors'!I$4*0.454/3412.12*1000</f>
        <v>211.82373421802285</v>
      </c>
      <c r="H26" s="178">
        <f t="shared" si="13"/>
        <v>43082215.759071998</v>
      </c>
      <c r="I26" s="176">
        <f t="shared" si="17"/>
        <v>2.4109585829337776E-3</v>
      </c>
      <c r="J26" s="155">
        <f t="shared" si="14"/>
        <v>490.35788288591999</v>
      </c>
      <c r="K26" s="161">
        <f t="shared" si="18"/>
        <v>11768.58918926208</v>
      </c>
      <c r="L26" s="176">
        <f t="shared" si="19"/>
        <v>3.3436749000621316E-3</v>
      </c>
      <c r="M26" s="155">
        <f t="shared" si="15"/>
        <v>680.0603530310799</v>
      </c>
      <c r="N26" s="161">
        <f t="shared" si="16"/>
        <v>210818.70943963478</v>
      </c>
      <c r="O26" s="183">
        <f t="shared" si="20"/>
        <v>43304803.057700895</v>
      </c>
    </row>
    <row r="27" spans="1:17" s="150" customFormat="1" ht="15" customHeight="1">
      <c r="A27" s="165" t="s">
        <v>699</v>
      </c>
      <c r="B27" s="152" t="s">
        <v>717</v>
      </c>
      <c r="C27" s="153" t="s">
        <v>57</v>
      </c>
      <c r="D27" s="490">
        <f>'2012 VTES Billed kWh''s'!C42+'2012 VTES Billed kWh''s'!I42+'2012 VTES Billed kWh''s'!O42+'2012 VTES Billed kWh''s'!U42+'2012 VTES Billed kWh''s'!AA42+'2012 VTES Billed kWh''s'!AG42+'2012 VTES Billed kWh''s'!AM42+'2012 VTES Billed kWh''s'!AS42+'2012 VTES Billed kWh''s'!AY42+'2012 VTES Billed kWh''s'!BE42+'2012 VTES Billed kWh''s'!BK42+'2012 VTES Billed kWh''s'!BQ42</f>
        <v>13768640</v>
      </c>
      <c r="E27" s="1031">
        <f t="shared" si="21"/>
        <v>46980.251916799993</v>
      </c>
      <c r="F27" s="1032"/>
      <c r="G27" s="492">
        <f>'APCO Emission Factors'!I$4*0.454/3412.12*1000</f>
        <v>211.82373421802285</v>
      </c>
      <c r="H27" s="178">
        <f t="shared" si="13"/>
        <v>9951532.3955199998</v>
      </c>
      <c r="I27" s="176">
        <f t="shared" si="17"/>
        <v>2.4109585829337776E-3</v>
      </c>
      <c r="J27" s="155">
        <f t="shared" si="14"/>
        <v>113.2674415872</v>
      </c>
      <c r="K27" s="161">
        <f t="shared" si="18"/>
        <v>2718.4185980928</v>
      </c>
      <c r="L27" s="176">
        <f t="shared" si="19"/>
        <v>3.3436749000621316E-3</v>
      </c>
      <c r="M27" s="155">
        <f t="shared" si="15"/>
        <v>157.08668913279999</v>
      </c>
      <c r="N27" s="161">
        <f t="shared" si="16"/>
        <v>48696.873631167997</v>
      </c>
      <c r="O27" s="183">
        <f t="shared" si="20"/>
        <v>10002947.687749261</v>
      </c>
    </row>
    <row r="28" spans="1:17" s="150" customFormat="1" ht="15" customHeight="1">
      <c r="A28" s="166" t="s">
        <v>699</v>
      </c>
      <c r="B28" s="157" t="s">
        <v>717</v>
      </c>
      <c r="C28" s="153" t="s">
        <v>2267</v>
      </c>
      <c r="D28" s="491">
        <f>'2012 VTES Billed kWh''s'!C43+'2012 VTES Billed kWh''s'!I43+'2012 VTES Billed kWh''s'!O43+'2012 VTES Billed kWh''s'!U43+'2012 VTES Billed kWh''s'!AA43+'2012 VTES Billed kWh''s'!AG43+'2012 VTES Billed kWh''s'!AM43+'2012 VTES Billed kWh''s'!AS43+'2012 VTES Billed kWh''s'!AY43+'2012 VTES Billed kWh''s'!BE43+'2012 VTES Billed kWh''s'!BK43+'2012 VTES Billed kWh''s'!BQ43</f>
        <v>4966637.1500000004</v>
      </c>
      <c r="E28" s="1031">
        <f t="shared" si="21"/>
        <v>16946.761952258003</v>
      </c>
      <c r="F28" s="1032"/>
      <c r="G28" s="493">
        <f>'APCO Emission Factors'!I$4*0.454/3412.12*1000</f>
        <v>211.82373421802285</v>
      </c>
      <c r="H28" s="179">
        <f t="shared" si="13"/>
        <v>3589726.3996312013</v>
      </c>
      <c r="I28" s="177">
        <f t="shared" si="17"/>
        <v>2.4109585829337776E-3</v>
      </c>
      <c r="J28" s="159">
        <f t="shared" si="14"/>
        <v>40.857941181732009</v>
      </c>
      <c r="K28" s="162">
        <f t="shared" si="18"/>
        <v>980.59058836156828</v>
      </c>
      <c r="L28" s="177">
        <f t="shared" si="19"/>
        <v>3.3436749000621316E-3</v>
      </c>
      <c r="M28" s="159">
        <f t="shared" si="15"/>
        <v>56.664462577093012</v>
      </c>
      <c r="N28" s="162">
        <f t="shared" si="16"/>
        <v>17565.983398898832</v>
      </c>
      <c r="O28" s="184">
        <f t="shared" si="20"/>
        <v>3608272.9736184618</v>
      </c>
    </row>
    <row r="29" spans="1:17" ht="15" customHeight="1">
      <c r="C29" s="167" t="s">
        <v>863</v>
      </c>
      <c r="D29" s="479"/>
      <c r="E29" s="1025">
        <f>SUM(E21:E28)</f>
        <v>1157623.1457324177</v>
      </c>
      <c r="F29" s="1026"/>
      <c r="G29" s="485"/>
      <c r="H29" s="282">
        <f t="shared" ref="H29:O29" si="22">SUM(H21:H28)</f>
        <v>245212057.54625523</v>
      </c>
      <c r="I29" s="485"/>
      <c r="J29" s="281">
        <f t="shared" si="22"/>
        <v>2790.981459006372</v>
      </c>
      <c r="K29" s="282">
        <f t="shared" si="22"/>
        <v>66983.555016152925</v>
      </c>
      <c r="L29" s="485"/>
      <c r="M29" s="281">
        <f t="shared" si="22"/>
        <v>3870.7154561164534</v>
      </c>
      <c r="N29" s="282">
        <f t="shared" si="22"/>
        <v>1199921.7913961001</v>
      </c>
      <c r="O29" s="282">
        <f t="shared" si="22"/>
        <v>246478962.89266747</v>
      </c>
    </row>
    <row r="30" spans="1:17">
      <c r="A30" s="185" t="s">
        <v>2062</v>
      </c>
    </row>
    <row r="31" spans="1:17" ht="18">
      <c r="B31" s="2"/>
      <c r="E31" s="150"/>
      <c r="G31" s="1038" t="s">
        <v>774</v>
      </c>
      <c r="H31" s="1039"/>
      <c r="I31" s="1038" t="s">
        <v>775</v>
      </c>
      <c r="J31" s="1040"/>
      <c r="K31" s="1039"/>
      <c r="L31" s="1038" t="s">
        <v>776</v>
      </c>
      <c r="M31" s="1040"/>
      <c r="N31" s="1039"/>
      <c r="O31" s="150"/>
    </row>
    <row r="32" spans="1:17" ht="45">
      <c r="A32" s="172" t="s">
        <v>58</v>
      </c>
      <c r="B32" s="167" t="s">
        <v>783</v>
      </c>
      <c r="C32" s="171" t="s">
        <v>54</v>
      </c>
      <c r="D32" s="169" t="s">
        <v>820</v>
      </c>
      <c r="E32" s="552" t="s">
        <v>696</v>
      </c>
      <c r="F32" s="478" t="s">
        <v>854</v>
      </c>
      <c r="G32" s="170" t="s">
        <v>850</v>
      </c>
      <c r="H32" s="171" t="s">
        <v>778</v>
      </c>
      <c r="I32" s="169" t="s">
        <v>851</v>
      </c>
      <c r="J32" s="168" t="s">
        <v>778</v>
      </c>
      <c r="K32" s="174" t="s">
        <v>780</v>
      </c>
      <c r="L32" s="170" t="s">
        <v>851</v>
      </c>
      <c r="M32" s="168" t="s">
        <v>778</v>
      </c>
      <c r="N32" s="174" t="s">
        <v>780</v>
      </c>
      <c r="O32" s="172" t="s">
        <v>779</v>
      </c>
    </row>
    <row r="33" spans="1:15">
      <c r="A33" s="251" t="s">
        <v>781</v>
      </c>
      <c r="B33" s="254" t="s">
        <v>855</v>
      </c>
      <c r="C33" s="255" t="s">
        <v>782</v>
      </c>
      <c r="D33" s="494">
        <f>SUM('VDOT VMT Totals'!K$23,'VDOT VMT Totals'!K22)*60.6/60.9</f>
        <v>142643967.39728138</v>
      </c>
      <c r="E33" s="546">
        <f>F33*'Transportation Fuel Information'!$R$31</f>
        <v>730151.42619374255</v>
      </c>
      <c r="F33" s="262">
        <f>D33/'Vehicle Fuel Efficiency'!X7</f>
        <v>6073713.148889428</v>
      </c>
      <c r="G33" s="266">
        <v>8.7799999999999994</v>
      </c>
      <c r="H33" s="267">
        <f>G33*F33</f>
        <v>53327201.447249174</v>
      </c>
      <c r="I33" s="266">
        <f>0.028/1000</f>
        <v>2.8E-5</v>
      </c>
      <c r="J33" s="270">
        <f t="shared" ref="J33:J40" si="23">I33*D33</f>
        <v>3994.0310871238785</v>
      </c>
      <c r="K33" s="271">
        <f t="shared" ref="K33:K40" si="24">J33*24</f>
        <v>95856.746090973087</v>
      </c>
      <c r="L33" s="266">
        <f>0.029/1000</f>
        <v>2.9E-5</v>
      </c>
      <c r="M33" s="270">
        <f t="shared" ref="M33:M40" si="25">L33*D33</f>
        <v>4136.6750545211598</v>
      </c>
      <c r="N33" s="271">
        <f t="shared" ref="N33:N40" si="26">M33*310</f>
        <v>1282369.2669015597</v>
      </c>
      <c r="O33" s="273">
        <f>SUM(N33,K33,H33)</f>
        <v>54705427.460241705</v>
      </c>
    </row>
    <row r="34" spans="1:15">
      <c r="A34" s="252" t="s">
        <v>781</v>
      </c>
      <c r="B34" s="256" t="s">
        <v>862</v>
      </c>
      <c r="C34" s="257" t="s">
        <v>782</v>
      </c>
      <c r="D34" s="495">
        <f>SUM('VDOT VMT Totals'!K$23,'VDOT VMT Totals'!K22)*0.3/60.9</f>
        <v>706158.25444198691</v>
      </c>
      <c r="E34" s="547">
        <f>F34*'Transportation Fuel Information'!$R$32</f>
        <v>3996.4731840823674</v>
      </c>
      <c r="F34" s="263">
        <f>D34/'Vehicle Fuel Efficiency'!X7</f>
        <v>30067.886875690234</v>
      </c>
      <c r="G34" s="72">
        <v>10.210000000000001</v>
      </c>
      <c r="H34" s="268">
        <f t="shared" ref="H34:H40" si="27">G34*F34</f>
        <v>306993.12500079733</v>
      </c>
      <c r="I34" s="72">
        <f>0.001/1000</f>
        <v>9.9999999999999995E-7</v>
      </c>
      <c r="J34" s="248">
        <f t="shared" si="23"/>
        <v>0.70615825444198688</v>
      </c>
      <c r="K34" s="161">
        <f t="shared" si="24"/>
        <v>16.947798106607685</v>
      </c>
      <c r="L34" s="72">
        <f>0.001/1000</f>
        <v>9.9999999999999995E-7</v>
      </c>
      <c r="M34" s="248">
        <f t="shared" si="25"/>
        <v>0.70615825444198688</v>
      </c>
      <c r="N34" s="161">
        <f t="shared" si="26"/>
        <v>218.90905887701592</v>
      </c>
      <c r="O34" s="274">
        <f t="shared" ref="O34:O40" si="28">SUM(N34,K34,H34)</f>
        <v>307228.98185778095</v>
      </c>
    </row>
    <row r="35" spans="1:15">
      <c r="A35" s="252" t="s">
        <v>781</v>
      </c>
      <c r="B35" s="256" t="s">
        <v>856</v>
      </c>
      <c r="C35" s="257" t="s">
        <v>782</v>
      </c>
      <c r="D35" s="495">
        <f>'VDOT VMT Totals'!K$24*32.4/33.7</f>
        <v>20275313.769826014</v>
      </c>
      <c r="E35" s="547">
        <f>F35*'Transportation Fuel Information'!$R$31</f>
        <v>141532.27715629476</v>
      </c>
      <c r="F35" s="264">
        <f>$D35/'Vehicle Fuel Efficiency'!$X$8</f>
        <v>1177326.2667412118</v>
      </c>
      <c r="G35" s="72">
        <v>8.7799999999999994</v>
      </c>
      <c r="H35" s="268">
        <f t="shared" si="27"/>
        <v>10336924.621987838</v>
      </c>
      <c r="I35" s="72">
        <f>0.031/1000</f>
        <v>3.1000000000000001E-5</v>
      </c>
      <c r="J35" s="248">
        <f t="shared" si="23"/>
        <v>628.53472686460645</v>
      </c>
      <c r="K35" s="161">
        <f t="shared" si="24"/>
        <v>15084.833444750555</v>
      </c>
      <c r="L35" s="72">
        <f>0.043/1000</f>
        <v>4.2999999999999995E-5</v>
      </c>
      <c r="M35" s="248">
        <f t="shared" si="25"/>
        <v>871.83849210251844</v>
      </c>
      <c r="N35" s="161">
        <f t="shared" si="26"/>
        <v>270269.93255178072</v>
      </c>
      <c r="O35" s="274">
        <f t="shared" si="28"/>
        <v>10622279.387984369</v>
      </c>
    </row>
    <row r="36" spans="1:15">
      <c r="A36" s="252" t="s">
        <v>781</v>
      </c>
      <c r="B36" s="256" t="s">
        <v>857</v>
      </c>
      <c r="C36" s="257" t="s">
        <v>782</v>
      </c>
      <c r="D36" s="495">
        <f>'VDOT VMT Totals'!K$24*1.3/33.7</f>
        <v>813515.67594980926</v>
      </c>
      <c r="E36" s="547">
        <f>F36*'Transportation Fuel Information'!$R$32</f>
        <v>6278.6918817000196</v>
      </c>
      <c r="F36" s="264">
        <f>$D36/'Vehicle Fuel Efficiency'!$X$8</f>
        <v>47238.399591468376</v>
      </c>
      <c r="G36" s="72">
        <v>10.210000000000001</v>
      </c>
      <c r="H36" s="268">
        <f t="shared" si="27"/>
        <v>482304.05982889218</v>
      </c>
      <c r="I36" s="72">
        <f>0.001/1000</f>
        <v>9.9999999999999995E-7</v>
      </c>
      <c r="J36" s="248">
        <f t="shared" si="23"/>
        <v>0.81351567594980922</v>
      </c>
      <c r="K36" s="161">
        <f t="shared" si="24"/>
        <v>19.524376222795421</v>
      </c>
      <c r="L36" s="72">
        <f>0.001/1000</f>
        <v>9.9999999999999995E-7</v>
      </c>
      <c r="M36" s="248">
        <f t="shared" si="25"/>
        <v>0.81351567594980922</v>
      </c>
      <c r="N36" s="161">
        <f t="shared" si="26"/>
        <v>252.18985954444085</v>
      </c>
      <c r="O36" s="274">
        <f t="shared" si="28"/>
        <v>482575.77406465943</v>
      </c>
    </row>
    <row r="37" spans="1:15" s="150" customFormat="1" ht="17.25" customHeight="1">
      <c r="A37" s="252" t="s">
        <v>853</v>
      </c>
      <c r="B37" s="256" t="s">
        <v>858</v>
      </c>
      <c r="C37" s="257" t="s">
        <v>782</v>
      </c>
      <c r="D37" s="495">
        <f>SUM('VDOT VMT Totals'!K$26:K$31)*0.292</f>
        <v>1056733.2440465847</v>
      </c>
      <c r="E37" s="547">
        <f>F37*'Transportation Fuel Information'!$R$31</f>
        <v>16203.467721053596</v>
      </c>
      <c r="F37" s="263">
        <f>D37/7.84</f>
        <v>134787.40357737051</v>
      </c>
      <c r="G37" s="72">
        <v>8.7799999999999994</v>
      </c>
      <c r="H37" s="268">
        <f t="shared" si="27"/>
        <v>1183433.4034093129</v>
      </c>
      <c r="I37" s="72">
        <f>0.033/1000</f>
        <v>3.3000000000000003E-5</v>
      </c>
      <c r="J37" s="248">
        <f t="shared" si="23"/>
        <v>34.872197053537299</v>
      </c>
      <c r="K37" s="161">
        <f t="shared" si="24"/>
        <v>836.93272928489523</v>
      </c>
      <c r="L37" s="72">
        <f>0.0134/1000</f>
        <v>1.34E-5</v>
      </c>
      <c r="M37" s="248">
        <f t="shared" si="25"/>
        <v>14.160225470224235</v>
      </c>
      <c r="N37" s="161">
        <f t="shared" si="26"/>
        <v>4389.6698957695126</v>
      </c>
      <c r="O37" s="274">
        <f t="shared" si="28"/>
        <v>1188660.0060343673</v>
      </c>
    </row>
    <row r="38" spans="1:15">
      <c r="A38" s="252" t="s">
        <v>853</v>
      </c>
      <c r="B38" s="256" t="s">
        <v>859</v>
      </c>
      <c r="C38" s="257" t="s">
        <v>782</v>
      </c>
      <c r="D38" s="495">
        <f>SUM('VDOT VMT Totals'!K$26:K$31)*0.708</f>
        <v>2562216.2218663767</v>
      </c>
      <c r="E38" s="547">
        <f>F38*'Transportation Fuel Information'!$R$32</f>
        <v>46973.375052326817</v>
      </c>
      <c r="F38" s="263">
        <f>D38/7.25</f>
        <v>353409.13405053469</v>
      </c>
      <c r="G38" s="72">
        <v>10.210000000000001</v>
      </c>
      <c r="H38" s="268">
        <f t="shared" si="27"/>
        <v>3608307.2586559593</v>
      </c>
      <c r="I38" s="72">
        <f>0.0051/1000</f>
        <v>5.1000000000000003E-6</v>
      </c>
      <c r="J38" s="248">
        <f t="shared" si="23"/>
        <v>13.067302731518522</v>
      </c>
      <c r="K38" s="161">
        <f t="shared" si="24"/>
        <v>313.61526555644451</v>
      </c>
      <c r="L38" s="72">
        <f>0.0048/1000</f>
        <v>4.7999999999999998E-6</v>
      </c>
      <c r="M38" s="248">
        <f t="shared" si="25"/>
        <v>12.298637864958607</v>
      </c>
      <c r="N38" s="161">
        <f t="shared" si="26"/>
        <v>3812.5777381371681</v>
      </c>
      <c r="O38" s="274">
        <f t="shared" si="28"/>
        <v>3612433.4516596529</v>
      </c>
    </row>
    <row r="39" spans="1:15">
      <c r="A39" s="252" t="s">
        <v>853</v>
      </c>
      <c r="B39" s="256" t="s">
        <v>860</v>
      </c>
      <c r="C39" s="257" t="s">
        <v>782</v>
      </c>
      <c r="D39" s="495">
        <f>SUM('VDOT VMT Totals'!K$32:K$33,'VDOT VMT Totals'!K25)*0.025</f>
        <v>37329.69052082672</v>
      </c>
      <c r="E39" s="547">
        <f>F39*'Transportation Fuel Information'!$R$31</f>
        <v>555.39464677737431</v>
      </c>
      <c r="F39" s="263">
        <f>D39/8.08</f>
        <v>4620.0112030726141</v>
      </c>
      <c r="G39" s="72">
        <v>8.7799999999999994</v>
      </c>
      <c r="H39" s="268">
        <f t="shared" si="27"/>
        <v>40563.69836297755</v>
      </c>
      <c r="I39" s="72">
        <f>0.033/1000</f>
        <v>3.3000000000000003E-5</v>
      </c>
      <c r="J39" s="248">
        <f t="shared" si="23"/>
        <v>1.2318797871872817</v>
      </c>
      <c r="K39" s="161">
        <f t="shared" si="24"/>
        <v>29.565114892494762</v>
      </c>
      <c r="L39" s="72">
        <f>0.034/1000</f>
        <v>3.4E-5</v>
      </c>
      <c r="M39" s="248">
        <f t="shared" si="25"/>
        <v>1.2692094777081084</v>
      </c>
      <c r="N39" s="161">
        <f t="shared" si="26"/>
        <v>393.45493808951363</v>
      </c>
      <c r="O39" s="274">
        <f t="shared" si="28"/>
        <v>40986.718415959556</v>
      </c>
    </row>
    <row r="40" spans="1:15">
      <c r="A40" s="253" t="s">
        <v>853</v>
      </c>
      <c r="B40" s="258" t="s">
        <v>861</v>
      </c>
      <c r="C40" s="259" t="s">
        <v>782</v>
      </c>
      <c r="D40" s="496">
        <f>SUM('VDOT VMT Totals'!K$32:K$33,'VDOT VMT Totals'!K25)*0.975</f>
        <v>1455857.9303122421</v>
      </c>
      <c r="E40" s="545">
        <f>F40*'Transportation Fuel Information'!$R$32</f>
        <v>38778.628618727787</v>
      </c>
      <c r="F40" s="265">
        <f>D40/4.99</f>
        <v>291755.09625495831</v>
      </c>
      <c r="G40" s="217">
        <v>10.210000000000001</v>
      </c>
      <c r="H40" s="269">
        <f t="shared" si="27"/>
        <v>2978819.5327631244</v>
      </c>
      <c r="I40" s="217">
        <f>0.0051/1000</f>
        <v>5.1000000000000003E-6</v>
      </c>
      <c r="J40" s="272">
        <f t="shared" si="23"/>
        <v>7.424875444592435</v>
      </c>
      <c r="K40" s="162">
        <f t="shared" si="24"/>
        <v>178.19701067021845</v>
      </c>
      <c r="L40" s="217">
        <f>0.0048/1000</f>
        <v>4.7999999999999998E-6</v>
      </c>
      <c r="M40" s="272">
        <f t="shared" si="25"/>
        <v>6.988118065498762</v>
      </c>
      <c r="N40" s="162">
        <f t="shared" si="26"/>
        <v>2166.3166003046163</v>
      </c>
      <c r="O40" s="275">
        <f t="shared" si="28"/>
        <v>2981164.0463740993</v>
      </c>
    </row>
    <row r="41" spans="1:15">
      <c r="C41" s="167" t="s">
        <v>863</v>
      </c>
      <c r="D41" s="479">
        <f>SUM(D33:D40)</f>
        <v>169551092.18424523</v>
      </c>
      <c r="E41" s="545">
        <f>SUM(E33:E40)</f>
        <v>984469.7344547055</v>
      </c>
      <c r="F41" s="479"/>
      <c r="G41" s="485"/>
      <c r="H41" s="282">
        <f t="shared" ref="H41" si="29">SUM(H33:H40)</f>
        <v>72264547.147258073</v>
      </c>
      <c r="I41" s="485"/>
      <c r="J41" s="281">
        <f t="shared" ref="J41" si="30">SUM(J33:J40)</f>
        <v>4680.6817429357125</v>
      </c>
      <c r="K41" s="282">
        <f t="shared" ref="K41" si="31">SUM(K33:K40)</f>
        <v>112336.3618304571</v>
      </c>
      <c r="L41" s="485"/>
      <c r="M41" s="281">
        <f t="shared" ref="M41" si="32">SUM(M33:M40)</f>
        <v>5044.7494114324591</v>
      </c>
      <c r="N41" s="282">
        <f t="shared" ref="N41" si="33">SUM(N33:N40)</f>
        <v>1563872.3175440626</v>
      </c>
      <c r="O41" s="282">
        <f t="shared" ref="O41" si="34">SUM(O33:O40)</f>
        <v>73940755.826632604</v>
      </c>
    </row>
    <row r="42" spans="1:15">
      <c r="A42" s="185" t="s">
        <v>2061</v>
      </c>
      <c r="C42" s="1023"/>
      <c r="D42" s="1024">
        <f>O33/F33</f>
        <v>9.0069165466341676</v>
      </c>
      <c r="E42" s="1024">
        <f>O34/F34</f>
        <v>10.217844144750137</v>
      </c>
      <c r="F42" s="628"/>
      <c r="G42" s="628"/>
      <c r="H42" s="628"/>
      <c r="I42" s="628"/>
      <c r="J42" s="628"/>
      <c r="K42" s="628"/>
      <c r="L42" s="628"/>
      <c r="M42" s="628"/>
      <c r="N42" s="628"/>
      <c r="O42" s="628"/>
    </row>
    <row r="43" spans="1:15" ht="18">
      <c r="B43" s="2"/>
      <c r="G43" s="1038" t="s">
        <v>774</v>
      </c>
      <c r="H43" s="1039"/>
      <c r="I43" s="1038" t="s">
        <v>775</v>
      </c>
      <c r="J43" s="1040"/>
      <c r="K43" s="1039"/>
      <c r="L43" s="1038" t="s">
        <v>776</v>
      </c>
      <c r="M43" s="1040"/>
      <c r="N43" s="1039"/>
    </row>
    <row r="44" spans="1:15" ht="30">
      <c r="A44" s="792" t="s">
        <v>58</v>
      </c>
      <c r="B44" s="793" t="s">
        <v>2065</v>
      </c>
      <c r="C44" s="794" t="s">
        <v>54</v>
      </c>
      <c r="D44" s="480" t="s">
        <v>2067</v>
      </c>
      <c r="E44" s="1049" t="s">
        <v>696</v>
      </c>
      <c r="F44" s="1050"/>
      <c r="G44" s="170" t="s">
        <v>777</v>
      </c>
      <c r="H44" s="171" t="s">
        <v>778</v>
      </c>
      <c r="I44" s="169" t="s">
        <v>777</v>
      </c>
      <c r="J44" s="168" t="s">
        <v>778</v>
      </c>
      <c r="K44" s="174" t="s">
        <v>780</v>
      </c>
      <c r="L44" s="170" t="s">
        <v>777</v>
      </c>
      <c r="M44" s="168" t="s">
        <v>778</v>
      </c>
      <c r="N44" s="174" t="s">
        <v>780</v>
      </c>
      <c r="O44" s="172" t="s">
        <v>779</v>
      </c>
    </row>
    <row r="45" spans="1:15">
      <c r="A45" s="630" t="s">
        <v>2074</v>
      </c>
      <c r="B45" s="795" t="s">
        <v>2073</v>
      </c>
      <c r="C45" s="632" t="s">
        <v>2063</v>
      </c>
      <c r="D45" s="175">
        <f>'Wastewater Data'!N7</f>
        <v>1130198900</v>
      </c>
      <c r="E45" s="1029"/>
      <c r="F45" s="1030"/>
      <c r="G45" s="249"/>
      <c r="H45" s="178"/>
      <c r="I45" s="176"/>
      <c r="J45" s="155">
        <f>D45/36525*1.25*0.09*(1-0.325)*0.6*0.8*365.25</f>
        <v>411957.49904999993</v>
      </c>
      <c r="K45" s="161">
        <f>J45*24</f>
        <v>9886979.9771999978</v>
      </c>
      <c r="L45" s="176"/>
      <c r="M45" s="155"/>
      <c r="N45" s="161"/>
      <c r="O45" s="183">
        <f t="shared" ref="O45:O47" si="35">SUM(H45,K45,N45)</f>
        <v>9886979.9771999978</v>
      </c>
    </row>
    <row r="46" spans="1:15">
      <c r="A46" s="165" t="s">
        <v>2069</v>
      </c>
      <c r="B46" s="153" t="s">
        <v>2070</v>
      </c>
      <c r="C46" s="156" t="s">
        <v>2063</v>
      </c>
      <c r="D46" s="175">
        <f>'Wastewater Data'!N7</f>
        <v>1130198900</v>
      </c>
      <c r="E46" s="1031"/>
      <c r="F46" s="1032"/>
      <c r="G46" s="249"/>
      <c r="H46" s="178"/>
      <c r="I46" s="176"/>
      <c r="J46" s="155"/>
      <c r="K46" s="161"/>
      <c r="L46" s="176"/>
      <c r="M46" s="155">
        <f>D46/36500*1.25*7/1000</f>
        <v>270.93809246575341</v>
      </c>
      <c r="N46" s="161">
        <f>M46*310</f>
        <v>83990.808664383556</v>
      </c>
      <c r="O46" s="183">
        <f t="shared" si="35"/>
        <v>83990.808664383556</v>
      </c>
    </row>
    <row r="47" spans="1:15">
      <c r="A47" s="165" t="s">
        <v>2075</v>
      </c>
      <c r="B47" s="153" t="s">
        <v>2076</v>
      </c>
      <c r="C47" s="156" t="s">
        <v>2063</v>
      </c>
      <c r="D47" s="175">
        <f>'Wastewater Data'!N7</f>
        <v>1130198900</v>
      </c>
      <c r="E47" s="1031"/>
      <c r="F47" s="1032"/>
      <c r="G47" s="249"/>
      <c r="H47" s="178"/>
      <c r="I47" s="176"/>
      <c r="J47" s="155"/>
      <c r="K47" s="161"/>
      <c r="L47" s="176"/>
      <c r="M47" s="155">
        <f>D47/36525*1.25*0.026*0.005*0.005*44/28*(1-0.07)*365.25</f>
        <v>13.420102831339282</v>
      </c>
      <c r="N47" s="161">
        <f>M47*310</f>
        <v>4160.2318777151777</v>
      </c>
      <c r="O47" s="183">
        <f t="shared" si="35"/>
        <v>4160.2318777151777</v>
      </c>
    </row>
    <row r="48" spans="1:15">
      <c r="A48" s="166" t="s">
        <v>2068</v>
      </c>
      <c r="B48" s="158" t="s">
        <v>2071</v>
      </c>
      <c r="C48" s="160" t="s">
        <v>2063</v>
      </c>
      <c r="D48" s="175">
        <f>'Wastewater Data'!N7</f>
        <v>1130198900</v>
      </c>
      <c r="E48" s="1033">
        <f>(D48*2000+D48*280)/1000000*3412.14/1000000</f>
        <v>8792.5848741928803</v>
      </c>
      <c r="F48" s="1034"/>
      <c r="G48" s="249">
        <f>'APCO Emission Factors'!I$4*0.454/3412.12*1000</f>
        <v>211.82373421802285</v>
      </c>
      <c r="H48" s="178">
        <f>G48*E48</f>
        <v>1862478.1614804405</v>
      </c>
      <c r="I48" s="176">
        <f>18.12*0.454/3412.12</f>
        <v>2.4109585829337776E-3</v>
      </c>
      <c r="J48" s="155">
        <f>I48*E48</f>
        <v>21.198557968609034</v>
      </c>
      <c r="K48" s="161">
        <f>J48*24</f>
        <v>508.76539124661679</v>
      </c>
      <c r="L48" s="176">
        <f>25.13*0.454/3412.12</f>
        <v>3.3436749000621316E-3</v>
      </c>
      <c r="M48" s="155">
        <f>L48*E48</f>
        <v>29.399545350504688</v>
      </c>
      <c r="N48" s="161">
        <f t="shared" ref="N48" si="36">M48*310</f>
        <v>9113.8590586564533</v>
      </c>
      <c r="O48" s="183">
        <f>SUM(H48,K48,N48)</f>
        <v>1872100.7859303437</v>
      </c>
    </row>
    <row r="49" spans="1:15">
      <c r="C49" s="629" t="s">
        <v>863</v>
      </c>
      <c r="D49" s="479"/>
      <c r="E49" s="1033">
        <f>SUM(E48:E48)</f>
        <v>8792.5848741928803</v>
      </c>
      <c r="F49" s="1034"/>
      <c r="G49" s="485"/>
      <c r="H49" s="282">
        <f>SUM(H48:H48)</f>
        <v>1862478.1614804405</v>
      </c>
      <c r="I49" s="485"/>
      <c r="J49" s="281">
        <f>SUM(J48:J48)</f>
        <v>21.198557968609034</v>
      </c>
      <c r="K49" s="282">
        <f>SUM(K48:K48)</f>
        <v>508.76539124661679</v>
      </c>
      <c r="L49" s="485"/>
      <c r="M49" s="281">
        <f>SUM(M48:M48)</f>
        <v>29.399545350504688</v>
      </c>
      <c r="N49" s="282">
        <f>SUM(N48:N48)</f>
        <v>9113.8590586564533</v>
      </c>
      <c r="O49" s="282">
        <f>SUM(O45:O48)</f>
        <v>11847231.803672438</v>
      </c>
    </row>
    <row r="50" spans="1:15">
      <c r="A50" s="185" t="s">
        <v>2247</v>
      </c>
      <c r="C50" s="627"/>
      <c r="D50" s="628"/>
      <c r="E50" s="628"/>
      <c r="F50" s="628"/>
      <c r="G50" s="628"/>
      <c r="H50" s="628"/>
      <c r="I50" s="628"/>
      <c r="J50" s="628"/>
      <c r="K50" s="628"/>
      <c r="L50" s="628"/>
      <c r="M50" s="628"/>
      <c r="N50" s="628"/>
      <c r="O50" s="628"/>
    </row>
    <row r="51" spans="1:15" ht="18">
      <c r="B51" s="2"/>
      <c r="G51" s="1038" t="s">
        <v>774</v>
      </c>
      <c r="H51" s="1039"/>
      <c r="I51" s="1038" t="s">
        <v>775</v>
      </c>
      <c r="J51" s="1040"/>
      <c r="K51" s="1039"/>
      <c r="L51" s="1038" t="s">
        <v>776</v>
      </c>
      <c r="M51" s="1040"/>
      <c r="N51" s="1039"/>
    </row>
    <row r="52" spans="1:15" ht="32.25" customHeight="1">
      <c r="A52" s="172" t="s">
        <v>58</v>
      </c>
      <c r="B52" s="635" t="s">
        <v>2065</v>
      </c>
      <c r="C52" s="168" t="s">
        <v>54</v>
      </c>
      <c r="D52" s="480" t="s">
        <v>2244</v>
      </c>
      <c r="E52" s="1027" t="s">
        <v>696</v>
      </c>
      <c r="F52" s="1028"/>
      <c r="G52" s="49" t="s">
        <v>777</v>
      </c>
      <c r="H52" s="873" t="s">
        <v>778</v>
      </c>
      <c r="I52" s="49" t="s">
        <v>777</v>
      </c>
      <c r="J52" s="873" t="s">
        <v>778</v>
      </c>
      <c r="K52" s="873" t="s">
        <v>780</v>
      </c>
      <c r="L52" s="49" t="s">
        <v>777</v>
      </c>
      <c r="M52" s="794" t="s">
        <v>778</v>
      </c>
      <c r="N52" s="873" t="s">
        <v>780</v>
      </c>
      <c r="O52" s="172" t="s">
        <v>779</v>
      </c>
    </row>
    <row r="53" spans="1:15">
      <c r="A53" s="630" t="s">
        <v>2170</v>
      </c>
      <c r="B53" s="631" t="s">
        <v>2171</v>
      </c>
      <c r="C53" s="632" t="s">
        <v>2077</v>
      </c>
      <c r="D53" s="490">
        <f>'Solid Waste Calculations'!H$13</f>
        <v>17408.225120141229</v>
      </c>
      <c r="E53" s="1029"/>
      <c r="F53" s="1030"/>
      <c r="G53" s="497"/>
      <c r="H53" s="498">
        <f>G53*E53</f>
        <v>0</v>
      </c>
      <c r="I53" s="874"/>
      <c r="J53" s="875">
        <f>(1-0.75)*(1-0.1)*D53*0.06</f>
        <v>235.01103912190658</v>
      </c>
      <c r="K53" s="271">
        <f>J53*24</f>
        <v>5640.2649389257576</v>
      </c>
      <c r="L53" s="874"/>
      <c r="M53" s="875"/>
      <c r="N53" s="271"/>
      <c r="O53" s="183">
        <f>SUM(H53,K53,N53)</f>
        <v>5640.2649389257576</v>
      </c>
    </row>
    <row r="54" spans="1:15">
      <c r="A54" s="165" t="s">
        <v>2074</v>
      </c>
      <c r="B54" s="152" t="s">
        <v>2245</v>
      </c>
      <c r="C54" s="156" t="s">
        <v>2077</v>
      </c>
      <c r="D54" s="490">
        <f>'Solid Waste Calculations'!H$13</f>
        <v>17408.225120141229</v>
      </c>
      <c r="E54" s="1031"/>
      <c r="F54" s="1032"/>
      <c r="G54" s="492"/>
      <c r="H54" s="178">
        <f>D54*0.0164*1000</f>
        <v>285494.89197031618</v>
      </c>
      <c r="I54" s="876"/>
      <c r="J54" s="155"/>
      <c r="K54" s="161"/>
      <c r="L54" s="876"/>
      <c r="M54" s="155"/>
      <c r="N54" s="161"/>
      <c r="O54" s="183">
        <f t="shared" ref="O54:O55" si="37">SUM(H54,K54,N54)</f>
        <v>285494.89197031618</v>
      </c>
    </row>
    <row r="55" spans="1:15">
      <c r="A55" s="166" t="s">
        <v>2069</v>
      </c>
      <c r="B55" s="157" t="s">
        <v>2246</v>
      </c>
      <c r="C55" s="160" t="s">
        <v>2077</v>
      </c>
      <c r="D55" s="490">
        <f>'Solid Waste Calculations'!H$13</f>
        <v>17408.225120141229</v>
      </c>
      <c r="E55" s="1033"/>
      <c r="F55" s="1034"/>
      <c r="G55" s="493"/>
      <c r="H55" s="179">
        <f>D55*4*0.00014*1000</f>
        <v>9748.6060672790882</v>
      </c>
      <c r="I55" s="877"/>
      <c r="J55" s="159"/>
      <c r="K55" s="162"/>
      <c r="L55" s="877"/>
      <c r="M55" s="159"/>
      <c r="N55" s="162"/>
      <c r="O55" s="183">
        <f t="shared" si="37"/>
        <v>9748.6060672790882</v>
      </c>
    </row>
    <row r="56" spans="1:15">
      <c r="C56" s="629" t="s">
        <v>863</v>
      </c>
      <c r="D56" s="479"/>
      <c r="E56" s="1025">
        <f>SUM(E53:E55)</f>
        <v>0</v>
      </c>
      <c r="F56" s="1026"/>
      <c r="G56" s="633"/>
      <c r="H56" s="634">
        <f>SUM(H53:H55)</f>
        <v>295243.49803759524</v>
      </c>
      <c r="I56" s="633"/>
      <c r="J56" s="281">
        <f>SUM(J53:J55)</f>
        <v>235.01103912190658</v>
      </c>
      <c r="K56" s="634">
        <f>SUM(K53:K55)</f>
        <v>5640.2649389257576</v>
      </c>
      <c r="L56" s="633"/>
      <c r="M56" s="281"/>
      <c r="N56" s="634"/>
      <c r="O56" s="634">
        <f>SUM(O53:O55)</f>
        <v>300883.76297652099</v>
      </c>
    </row>
    <row r="57" spans="1:15" ht="15.75" thickBot="1">
      <c r="C57" s="627"/>
      <c r="D57" s="628"/>
      <c r="E57" s="628"/>
      <c r="F57" s="628"/>
      <c r="G57" s="628"/>
      <c r="H57" s="628"/>
      <c r="I57" s="628"/>
      <c r="J57" s="628"/>
      <c r="K57" s="628"/>
      <c r="L57" s="628"/>
      <c r="M57" s="628"/>
      <c r="N57" s="628"/>
      <c r="O57" s="628"/>
    </row>
    <row r="58" spans="1:15" ht="15.75" thickBot="1">
      <c r="E58" s="150"/>
      <c r="F58" s="150"/>
      <c r="G58" s="277" t="s">
        <v>864</v>
      </c>
      <c r="H58" s="278">
        <f>SUM(H41,H29,H17,H10)</f>
        <v>363365090.35977978</v>
      </c>
      <c r="I58" s="279"/>
      <c r="J58" s="278">
        <f>SUM(J41,J29,J17,J10)</f>
        <v>10928.437078834517</v>
      </c>
      <c r="K58" s="278">
        <f>SUM(K41,K29,K17,K10)</f>
        <v>262282.48989202839</v>
      </c>
      <c r="L58" s="279"/>
      <c r="M58" s="278">
        <f>SUM(M41,M29,M17,M10)</f>
        <v>9030.9820726999169</v>
      </c>
      <c r="N58" s="278">
        <f>SUM(N41,N29,N17,N10)</f>
        <v>2799604.4425369743</v>
      </c>
      <c r="O58" s="280">
        <f>SUM(O41,O29,O17,O10)</f>
        <v>366426977.29220885</v>
      </c>
    </row>
    <row r="59" spans="1:15">
      <c r="C59" s="276"/>
      <c r="E59" s="150"/>
      <c r="F59" s="150"/>
      <c r="G59" s="55"/>
    </row>
    <row r="60" spans="1:15" ht="30">
      <c r="A60" s="878" t="s">
        <v>868</v>
      </c>
      <c r="B60" s="1015" t="s">
        <v>970</v>
      </c>
      <c r="C60" s="985" t="s">
        <v>2530</v>
      </c>
      <c r="D60"/>
      <c r="E60" s="150"/>
      <c r="F60" s="987"/>
      <c r="G60" s="55"/>
    </row>
    <row r="61" spans="1:15">
      <c r="A61" s="56" t="s">
        <v>55</v>
      </c>
      <c r="B61" s="1016">
        <f>SUM(E6,E14:F16,E21,E25)</f>
        <v>806597.77884738264</v>
      </c>
      <c r="C61" s="273">
        <f>SUM(O6,O14,O15,O16,O21,O25)</f>
        <v>123251470.71081419</v>
      </c>
      <c r="D61"/>
      <c r="E61" s="150"/>
      <c r="G61" s="55"/>
    </row>
    <row r="62" spans="1:15">
      <c r="A62" s="879" t="s">
        <v>56</v>
      </c>
      <c r="B62" s="1017">
        <f>SUM(E7,E22,E26)</f>
        <v>556306.94621719979</v>
      </c>
      <c r="C62" s="274">
        <f>SUM(O22,O26,O7)</f>
        <v>89539088.600648433</v>
      </c>
      <c r="D62"/>
      <c r="E62" s="150"/>
      <c r="G62" s="55"/>
    </row>
    <row r="63" spans="1:15">
      <c r="A63" s="879" t="s">
        <v>57</v>
      </c>
      <c r="B63" s="1017">
        <f>SUM(E8,E23,E27)</f>
        <v>554044.36640307342</v>
      </c>
      <c r="C63" s="274">
        <f>SUM(O8,O23,O27)</f>
        <v>66711181.004970886</v>
      </c>
      <c r="D63"/>
      <c r="E63" s="150"/>
      <c r="G63" s="55"/>
    </row>
    <row r="64" spans="1:15">
      <c r="A64" s="879" t="s">
        <v>2267</v>
      </c>
      <c r="B64" s="1017">
        <f>SUM(E9,E24,E28)</f>
        <v>92580.192731338</v>
      </c>
      <c r="C64" s="274">
        <f>SUM(O9,O24,O28)</f>
        <v>12984481.14914272</v>
      </c>
      <c r="D64"/>
      <c r="E64" s="150"/>
      <c r="G64" s="55"/>
    </row>
    <row r="65" spans="1:7">
      <c r="A65" s="879" t="s">
        <v>782</v>
      </c>
      <c r="B65" s="1017">
        <f>SUM(E33:E40)</f>
        <v>984469.7344547055</v>
      </c>
      <c r="C65" s="274">
        <f>SUM(O33:O40)</f>
        <v>73940755.826632604</v>
      </c>
      <c r="D65"/>
      <c r="E65" s="150"/>
      <c r="G65" s="55"/>
    </row>
    <row r="66" spans="1:7">
      <c r="A66" s="880" t="s">
        <v>2248</v>
      </c>
      <c r="B66" s="1018">
        <f>SUM(E48)</f>
        <v>8792.5848741928803</v>
      </c>
      <c r="C66" s="274">
        <f>O49</f>
        <v>11847231.803672438</v>
      </c>
      <c r="D66"/>
      <c r="E66" s="150"/>
      <c r="G66" s="55"/>
    </row>
    <row r="67" spans="1:7">
      <c r="A67" s="881" t="s">
        <v>2077</v>
      </c>
      <c r="B67" s="881"/>
      <c r="C67" s="275">
        <f>O56</f>
        <v>300883.76297652099</v>
      </c>
      <c r="D67"/>
      <c r="E67" s="150"/>
      <c r="G67" s="55"/>
    </row>
    <row r="69" spans="1:7" ht="30">
      <c r="A69" s="1021" t="s">
        <v>2101</v>
      </c>
      <c r="B69" s="942" t="s">
        <v>970</v>
      </c>
      <c r="C69" s="986" t="s">
        <v>2530</v>
      </c>
    </row>
    <row r="70" spans="1:7">
      <c r="A70" s="1019" t="s">
        <v>2</v>
      </c>
      <c r="B70" s="274">
        <f>SUM(E6:F9)</f>
        <v>814152.13846657565</v>
      </c>
      <c r="C70" s="1022">
        <f>SUM(O6:O9)</f>
        <v>43162048.30882179</v>
      </c>
    </row>
    <row r="71" spans="1:7">
      <c r="A71" s="1019" t="s">
        <v>2531</v>
      </c>
      <c r="B71" s="274">
        <f>SUM(E14:F16)</f>
        <v>37754</v>
      </c>
      <c r="C71" s="1022">
        <f>SUM(O14:O16)</f>
        <v>2845210.2640869566</v>
      </c>
    </row>
    <row r="72" spans="1:7">
      <c r="A72" s="1019" t="s">
        <v>588</v>
      </c>
      <c r="B72" s="274">
        <f>SUM(E21:F28,E48)</f>
        <v>1166415.7306066107</v>
      </c>
      <c r="C72" s="1022">
        <f>SUM(O21:O28,O48)</f>
        <v>248351063.67859781</v>
      </c>
    </row>
    <row r="73" spans="1:7">
      <c r="A73" s="1020" t="s">
        <v>2532</v>
      </c>
      <c r="B73" s="275">
        <f>SUM(E33:E40)</f>
        <v>984469.7344547055</v>
      </c>
      <c r="C73" s="890">
        <f>SUM(O33:O40)</f>
        <v>73940755.826632604</v>
      </c>
    </row>
    <row r="79" spans="1:7">
      <c r="B79">
        <f>E41*1000000/SUM(D33:D40)</f>
        <v>5806.3308338050501</v>
      </c>
    </row>
  </sheetData>
  <mergeCells count="50">
    <mergeCell ref="E49:F49"/>
    <mergeCell ref="E44:F44"/>
    <mergeCell ref="E48:F48"/>
    <mergeCell ref="E45:F45"/>
    <mergeCell ref="E47:F47"/>
    <mergeCell ref="E46:F46"/>
    <mergeCell ref="E25:F25"/>
    <mergeCell ref="E26:F26"/>
    <mergeCell ref="E27:F27"/>
    <mergeCell ref="E28:F28"/>
    <mergeCell ref="E29:F29"/>
    <mergeCell ref="E20:F20"/>
    <mergeCell ref="E21:F21"/>
    <mergeCell ref="E22:F22"/>
    <mergeCell ref="E23:F23"/>
    <mergeCell ref="E24:F24"/>
    <mergeCell ref="E15:F15"/>
    <mergeCell ref="E16:F16"/>
    <mergeCell ref="E17:F17"/>
    <mergeCell ref="E10:F10"/>
    <mergeCell ref="E13:F13"/>
    <mergeCell ref="E14:F14"/>
    <mergeCell ref="E5:F5"/>
    <mergeCell ref="E6:F6"/>
    <mergeCell ref="E7:F7"/>
    <mergeCell ref="E8:F8"/>
    <mergeCell ref="E9:F9"/>
    <mergeCell ref="G4:H4"/>
    <mergeCell ref="I4:K4"/>
    <mergeCell ref="L4:N4"/>
    <mergeCell ref="G12:H12"/>
    <mergeCell ref="I12:K12"/>
    <mergeCell ref="L12:N12"/>
    <mergeCell ref="G19:H19"/>
    <mergeCell ref="I19:K19"/>
    <mergeCell ref="L19:N19"/>
    <mergeCell ref="G51:H51"/>
    <mergeCell ref="I51:K51"/>
    <mergeCell ref="L51:N51"/>
    <mergeCell ref="L43:N43"/>
    <mergeCell ref="I43:K43"/>
    <mergeCell ref="G43:H43"/>
    <mergeCell ref="L31:N31"/>
    <mergeCell ref="I31:K31"/>
    <mergeCell ref="G31:H31"/>
    <mergeCell ref="E56:F56"/>
    <mergeCell ref="E52:F52"/>
    <mergeCell ref="E53:F53"/>
    <mergeCell ref="E54:F54"/>
    <mergeCell ref="E55:F55"/>
  </mergeCells>
  <hyperlinks>
    <hyperlink ref="D5" location="'ATMOS NG Calculations'!A1" tooltip="ATMOS NG Calculations" display="Quantity (Mcf)"/>
    <hyperlink ref="E5" location="'Natural Gas Energy Content'!A1" tooltip="Natural Gas Energy Content" display="Energy Quantity (MMBtu)"/>
    <hyperlink ref="G5" location="'Default Emissions Factors'!A1" tooltip="Default Emissions Factors" display="CO2 Emission Coefficient"/>
    <hyperlink ref="I5" location="'Default Emissions Factors'!A1" tooltip="Default Emissions Factors" display="Coefficient (kg/MMBtu)"/>
    <hyperlink ref="L5" location="'Default Emissions Factors'!A1" tooltip="Default Emissions Factors" display="CO2 Emission Coefficient"/>
    <hyperlink ref="G13" location="'Default Emissions Factors'!A1" tooltip="Default Emissions Factors" display="CO2 Emission Coefficient"/>
    <hyperlink ref="I13" location="'Default Emissions Factors'!A1" tooltip="Default Emissions Factors" display="CO2 Emission Coefficient"/>
    <hyperlink ref="G20" location="'APCO Emission Factors'!A1" tooltip="APCO Emission Factors" display="Coefficient (kg/MMBtu)"/>
    <hyperlink ref="I20" location="'Default Emissions Factors'!A1" tooltip="Default Emissions Factors" display="Coefficient (kg/MMBtu)"/>
    <hyperlink ref="L13" location="'Default Emissions Factors'!A1" tooltip="Default Emissions Factors" display="CO2 Emission Coefficient"/>
    <hyperlink ref="L20" location="'Default Emissions Factors'!A1" tooltip="Default Emissions Factors" display="CO2 Emission Coefficient"/>
    <hyperlink ref="K5" location="'Global Warming Potentials'!A1" tooltip="Global Warming Potentials" display="CO2 Equivalent (kg)"/>
    <hyperlink ref="K13" location="'Global Warming Potentials'!A1" tooltip="Global Warming Potentials" display="CO2 Equivalent (kg)"/>
    <hyperlink ref="K20" location="'Global Warming Potentials'!A1" tooltip="Global Warming Potentials" display="CO2 Equivalent (kg)"/>
    <hyperlink ref="N20" location="'Global Warming Potentials'!A1" tooltip="Global Warming Potentials" display="CO2 Equivalent (kg)"/>
    <hyperlink ref="N13" location="'Global Warming Potentials'!A1" tooltip="Global Warming Potentials" display="CO2 Equivalent (kg)"/>
    <hyperlink ref="N5" location="'Global Warming Potentials'!A1" tooltip="Global Warming Potentials" display="CO2 Equivalent (kg)"/>
    <hyperlink ref="D20" location="'2010 - 2012 APCO Billed kWh''s'!A1" tooltip="2010 - 2012 APCO Billed kWh's" display="Quantity (kWh)"/>
    <hyperlink ref="E32" location="'Transportation Fuel Information'!A1" tooltip="Transportation Fuel Information" display="Energy Quantity (MMBtu)"/>
    <hyperlink ref="G44" location="'APCO Emission Factors'!A1" tooltip="APCO Emission Factors" display="Coefficient (kg/MMBtu)"/>
    <hyperlink ref="N32" location="'Global Warming Potentials'!A1" tooltip="Global Warming Potentials" display="CO2 Equivalent (kg)"/>
    <hyperlink ref="L44" location="'Default Emissions Factors'!A1" tooltip="Default Emissions Factors" display="CO2 Emission Coefficient"/>
    <hyperlink ref="L32" location="'Vehicle Emission Factors'!A1" tooltip="Vehicle Emission Factors" display="Coefficient (kg/MMBtu)"/>
    <hyperlink ref="I32" location="'Vehicle Emission Factors'!A1" tooltip="Vehicle Emission Factors" display="Coefficient (kg/VMT)"/>
    <hyperlink ref="G32" location="'Vehicle Emission Factors'!A1" tooltip="Vehicle Emission Factors" display="Coefficient (kg/gallon)"/>
    <hyperlink ref="D44" location="'Wastewater Data'!A1" tooltip="Wastewater Data" display="Quantity (Gal)"/>
    <hyperlink ref="N44" location="'Global Warming Potentials'!A1" tooltip="Global Warming Potentials" display="CO2 Equivalent (kg)"/>
    <hyperlink ref="K44" location="'Global Warming Potentials'!A1" tooltip="Global Warming Potentials" display="CO2 Equivalent (kg)"/>
    <hyperlink ref="I44" location="'Default Emissions Factors'!A1" tooltip="Default Emissions Factors" display="Coefficient (kg/MMBtu)"/>
    <hyperlink ref="E13" location="'BE.1.2 Calculations'!A1" tooltip="BE.1.2 Calculations" display="Energy Quantity (MMBtu)"/>
    <hyperlink ref="D52" location="'Solid Waste Calculations'!A1" tooltip="Solid Waste Calculations" display="Quantity (Gal)"/>
    <hyperlink ref="N52" location="'Global Warming Potentials'!A1" tooltip="Global Warming Potentials" display="CO2 Equivalent (kg)"/>
    <hyperlink ref="K52" location="'Global Warming Potentials'!A1" tooltip="Global Warming Potentials" display="CO2 Equivalent (kg)"/>
    <hyperlink ref="F32" location="'Vehicle Fuel Efficiency'!A1" tooltip="Vehicle Fuel Efficiency" display="Energy Quantity (Gallons)"/>
    <hyperlink ref="D32" location="'VDOT VMT Totals'!A1" tooltip="VDOT VMT Totals" display="Quantity (VMT)"/>
    <hyperlink ref="H52" location="'Solid Waste Coefficients'!A1" tooltip="Solid Waste Coefficients" display="Quantity (kg)"/>
    <hyperlink ref="J52" location="'Solid Waste Coefficients'!A1" tooltip="Solid Waste Coefficients" display="Quantity (kg)"/>
  </hyperlinks>
  <pageMargins left="0.7" right="0.7" top="0.75" bottom="0.75" header="0.3" footer="0.3"/>
  <pageSetup orientation="landscape" horizontalDpi="4294967293" verticalDpi="0" r:id="rId1"/>
  <drawing r:id="rId2"/>
</worksheet>
</file>

<file path=xl/worksheets/sheet30.xml><?xml version="1.0" encoding="utf-8"?>
<worksheet xmlns="http://schemas.openxmlformats.org/spreadsheetml/2006/main" xmlns:r="http://schemas.openxmlformats.org/officeDocument/2006/relationships">
  <dimension ref="A1:N63"/>
  <sheetViews>
    <sheetView workbookViewId="0">
      <selection activeCell="C52" sqref="C52"/>
    </sheetView>
  </sheetViews>
  <sheetFormatPr defaultRowHeight="15"/>
  <cols>
    <col min="1" max="1" width="13.7109375" customWidth="1"/>
    <col min="2" max="2" width="14.140625" customWidth="1"/>
    <col min="3" max="6" width="14.140625" bestFit="1" customWidth="1"/>
    <col min="9" max="9" width="11.5703125" customWidth="1"/>
    <col min="11" max="11" width="10.7109375" customWidth="1"/>
  </cols>
  <sheetData>
    <row r="1" spans="1:14">
      <c r="A1" s="903" t="s">
        <v>974</v>
      </c>
      <c r="B1" s="902" t="s">
        <v>2260</v>
      </c>
      <c r="C1" s="12"/>
      <c r="D1" s="12"/>
      <c r="E1" s="12"/>
      <c r="F1" s="12"/>
      <c r="G1" s="12"/>
    </row>
    <row r="2" spans="1:14">
      <c r="A2" s="12"/>
      <c r="B2" s="12"/>
      <c r="C2" s="12"/>
      <c r="D2" s="12"/>
      <c r="E2" s="12"/>
      <c r="F2" s="12"/>
      <c r="G2" s="12"/>
    </row>
    <row r="3" spans="1:14">
      <c r="A3" s="1" t="s">
        <v>683</v>
      </c>
    </row>
    <row r="4" spans="1:14">
      <c r="A4" s="48" t="s">
        <v>684</v>
      </c>
    </row>
    <row r="5" spans="1:14" s="48" customFormat="1" ht="58.5" customHeight="1">
      <c r="A5" s="49" t="s">
        <v>611</v>
      </c>
      <c r="B5" s="49" t="s">
        <v>612</v>
      </c>
      <c r="C5" s="49" t="s">
        <v>2</v>
      </c>
      <c r="D5" s="49" t="s">
        <v>677</v>
      </c>
      <c r="E5" s="49" t="s">
        <v>594</v>
      </c>
      <c r="F5" s="49" t="s">
        <v>678</v>
      </c>
      <c r="G5" s="49" t="s">
        <v>50</v>
      </c>
      <c r="H5" s="49" t="s">
        <v>590</v>
      </c>
      <c r="I5" s="49" t="s">
        <v>613</v>
      </c>
      <c r="J5" s="49" t="s">
        <v>679</v>
      </c>
      <c r="K5" s="49" t="s">
        <v>682</v>
      </c>
      <c r="L5" s="49" t="s">
        <v>680</v>
      </c>
      <c r="M5" s="49" t="s">
        <v>681</v>
      </c>
      <c r="N5" s="49" t="s">
        <v>50</v>
      </c>
    </row>
    <row r="6" spans="1:14">
      <c r="A6" t="s">
        <v>614</v>
      </c>
      <c r="B6">
        <v>0</v>
      </c>
      <c r="C6">
        <v>42.3</v>
      </c>
      <c r="D6">
        <v>0.7</v>
      </c>
      <c r="E6">
        <v>0.1</v>
      </c>
      <c r="F6">
        <v>8.5</v>
      </c>
      <c r="G6">
        <v>9.3000000000000007</v>
      </c>
      <c r="H6">
        <v>4.5</v>
      </c>
      <c r="I6">
        <v>0.1</v>
      </c>
      <c r="J6">
        <v>0.1</v>
      </c>
      <c r="K6">
        <v>121.2</v>
      </c>
      <c r="L6">
        <v>177.6</v>
      </c>
      <c r="M6">
        <v>239.9</v>
      </c>
      <c r="N6">
        <v>417.5</v>
      </c>
    </row>
    <row r="7" spans="1:14">
      <c r="A7" t="s">
        <v>615</v>
      </c>
      <c r="B7">
        <v>0.9</v>
      </c>
      <c r="C7">
        <v>18.8</v>
      </c>
      <c r="D7">
        <v>9</v>
      </c>
      <c r="E7">
        <v>0.1</v>
      </c>
      <c r="F7">
        <v>0.6</v>
      </c>
      <c r="G7">
        <v>9.6999999999999993</v>
      </c>
      <c r="H7">
        <v>0.9</v>
      </c>
      <c r="I7">
        <v>0.1</v>
      </c>
      <c r="J7" t="s">
        <v>616</v>
      </c>
      <c r="K7">
        <v>7.1</v>
      </c>
      <c r="L7">
        <v>37.6</v>
      </c>
      <c r="M7">
        <v>14.6</v>
      </c>
      <c r="N7">
        <v>52.1</v>
      </c>
    </row>
    <row r="8" spans="1:14">
      <c r="A8" t="s">
        <v>617</v>
      </c>
      <c r="B8">
        <v>0</v>
      </c>
      <c r="C8">
        <v>38.4</v>
      </c>
      <c r="D8" t="s">
        <v>616</v>
      </c>
      <c r="E8" t="s">
        <v>616</v>
      </c>
      <c r="F8">
        <v>4.5999999999999996</v>
      </c>
      <c r="G8">
        <v>4.5999999999999996</v>
      </c>
      <c r="H8">
        <v>8.1999999999999993</v>
      </c>
      <c r="I8" t="s">
        <v>616</v>
      </c>
      <c r="J8">
        <v>5.9</v>
      </c>
      <c r="K8">
        <v>110.7</v>
      </c>
      <c r="L8">
        <v>167.9</v>
      </c>
      <c r="M8">
        <v>213.1</v>
      </c>
      <c r="N8">
        <v>381</v>
      </c>
    </row>
    <row r="9" spans="1:14">
      <c r="A9" t="s">
        <v>618</v>
      </c>
      <c r="B9">
        <v>0</v>
      </c>
      <c r="C9">
        <v>36.5</v>
      </c>
      <c r="D9">
        <v>0.1</v>
      </c>
      <c r="E9" t="s">
        <v>616</v>
      </c>
      <c r="F9">
        <v>6.1</v>
      </c>
      <c r="G9">
        <v>6.1</v>
      </c>
      <c r="H9">
        <v>5.5</v>
      </c>
      <c r="I9">
        <v>0.8</v>
      </c>
      <c r="J9">
        <v>0.1</v>
      </c>
      <c r="K9">
        <v>65.599999999999994</v>
      </c>
      <c r="L9">
        <v>114.6</v>
      </c>
      <c r="M9">
        <v>139.19999999999999</v>
      </c>
      <c r="N9">
        <v>253.8</v>
      </c>
    </row>
    <row r="10" spans="1:14">
      <c r="A10" t="s">
        <v>619</v>
      </c>
      <c r="B10">
        <v>0</v>
      </c>
      <c r="C10">
        <v>505.5</v>
      </c>
      <c r="D10">
        <v>1</v>
      </c>
      <c r="E10">
        <v>0.8</v>
      </c>
      <c r="F10">
        <v>31.7</v>
      </c>
      <c r="G10">
        <v>33.5</v>
      </c>
      <c r="H10">
        <v>25.4</v>
      </c>
      <c r="I10">
        <v>0.3</v>
      </c>
      <c r="J10">
        <v>32.1</v>
      </c>
      <c r="K10">
        <v>297.7</v>
      </c>
      <c r="L10">
        <v>894.5</v>
      </c>
      <c r="M10">
        <v>568</v>
      </c>
      <c r="N10" s="47">
        <v>1462.5</v>
      </c>
    </row>
    <row r="11" spans="1:14">
      <c r="A11" t="s">
        <v>620</v>
      </c>
      <c r="B11">
        <v>0.7</v>
      </c>
      <c r="C11">
        <v>133.5</v>
      </c>
      <c r="D11">
        <v>0.1</v>
      </c>
      <c r="E11" t="s">
        <v>616</v>
      </c>
      <c r="F11">
        <v>12.4</v>
      </c>
      <c r="G11">
        <v>12.5</v>
      </c>
      <c r="H11">
        <v>6.7</v>
      </c>
      <c r="I11">
        <v>0.3</v>
      </c>
      <c r="J11">
        <v>0.5</v>
      </c>
      <c r="K11">
        <v>61.8</v>
      </c>
      <c r="L11">
        <v>214.1</v>
      </c>
      <c r="M11">
        <v>136.80000000000001</v>
      </c>
      <c r="N11">
        <v>350.9</v>
      </c>
    </row>
    <row r="12" spans="1:14">
      <c r="A12" t="s">
        <v>621</v>
      </c>
      <c r="B12">
        <v>0</v>
      </c>
      <c r="C12">
        <v>43.8</v>
      </c>
      <c r="D12">
        <v>68.3</v>
      </c>
      <c r="E12">
        <v>0.2</v>
      </c>
      <c r="F12">
        <v>5.8</v>
      </c>
      <c r="G12">
        <v>74.400000000000006</v>
      </c>
      <c r="H12">
        <v>2.4</v>
      </c>
      <c r="I12" t="s">
        <v>616</v>
      </c>
      <c r="J12">
        <v>1.7</v>
      </c>
      <c r="K12">
        <v>44.6</v>
      </c>
      <c r="L12">
        <v>166.9</v>
      </c>
      <c r="M12">
        <v>80</v>
      </c>
      <c r="N12">
        <v>247</v>
      </c>
    </row>
    <row r="13" spans="1:14">
      <c r="A13" t="s">
        <v>622</v>
      </c>
      <c r="B13">
        <v>0</v>
      </c>
      <c r="C13">
        <v>10.4</v>
      </c>
      <c r="D13">
        <v>3.4</v>
      </c>
      <c r="E13">
        <v>0.2</v>
      </c>
      <c r="F13">
        <v>3.8</v>
      </c>
      <c r="G13">
        <v>7.5</v>
      </c>
      <c r="H13">
        <v>0.6</v>
      </c>
      <c r="I13">
        <v>0.4</v>
      </c>
      <c r="J13">
        <v>0.1</v>
      </c>
      <c r="K13">
        <v>16.2</v>
      </c>
      <c r="L13">
        <v>35.200000000000003</v>
      </c>
      <c r="M13">
        <v>37.299999999999997</v>
      </c>
      <c r="N13">
        <v>72.5</v>
      </c>
    </row>
    <row r="14" spans="1:14">
      <c r="A14" t="s">
        <v>623</v>
      </c>
      <c r="B14" t="s">
        <v>616</v>
      </c>
      <c r="C14">
        <v>13.8</v>
      </c>
      <c r="D14">
        <v>1.3</v>
      </c>
      <c r="E14">
        <v>0</v>
      </c>
      <c r="F14" t="s">
        <v>616</v>
      </c>
      <c r="G14">
        <v>1.3</v>
      </c>
      <c r="H14" t="s">
        <v>616</v>
      </c>
      <c r="I14" t="s">
        <v>616</v>
      </c>
      <c r="J14" t="s">
        <v>616</v>
      </c>
      <c r="K14">
        <v>7.2</v>
      </c>
      <c r="L14">
        <v>22.4</v>
      </c>
      <c r="M14">
        <v>16.5</v>
      </c>
      <c r="N14">
        <v>38.799999999999997</v>
      </c>
    </row>
    <row r="15" spans="1:14">
      <c r="A15" t="s">
        <v>624</v>
      </c>
      <c r="B15">
        <v>0</v>
      </c>
      <c r="C15">
        <v>19.2</v>
      </c>
      <c r="D15">
        <v>0.3</v>
      </c>
      <c r="E15">
        <v>0.2</v>
      </c>
      <c r="F15">
        <v>9</v>
      </c>
      <c r="G15">
        <v>9.5</v>
      </c>
      <c r="H15">
        <v>2.2000000000000002</v>
      </c>
      <c r="I15">
        <v>7.7</v>
      </c>
      <c r="J15">
        <v>48.2</v>
      </c>
      <c r="K15">
        <v>417.1</v>
      </c>
      <c r="L15">
        <v>503.8</v>
      </c>
      <c r="M15">
        <v>795</v>
      </c>
      <c r="N15" s="47">
        <v>1298.8</v>
      </c>
    </row>
    <row r="16" spans="1:14">
      <c r="A16" t="s">
        <v>625</v>
      </c>
      <c r="B16" t="s">
        <v>616</v>
      </c>
      <c r="C16">
        <v>141.69999999999999</v>
      </c>
      <c r="D16">
        <v>0.1</v>
      </c>
      <c r="E16">
        <v>0.2</v>
      </c>
      <c r="F16">
        <v>12.7</v>
      </c>
      <c r="G16">
        <v>13</v>
      </c>
      <c r="H16">
        <v>6.4</v>
      </c>
      <c r="I16">
        <v>0.3</v>
      </c>
      <c r="J16">
        <v>0.6</v>
      </c>
      <c r="K16">
        <v>210</v>
      </c>
      <c r="L16">
        <v>371.8</v>
      </c>
      <c r="M16">
        <v>449.5</v>
      </c>
      <c r="N16">
        <v>821.3</v>
      </c>
    </row>
    <row r="17" spans="1:14">
      <c r="A17" t="s">
        <v>626</v>
      </c>
      <c r="B17">
        <v>0</v>
      </c>
      <c r="C17">
        <v>0.5</v>
      </c>
      <c r="D17" t="s">
        <v>616</v>
      </c>
      <c r="E17" t="s">
        <v>616</v>
      </c>
      <c r="F17">
        <v>0.9</v>
      </c>
      <c r="G17">
        <v>0.9</v>
      </c>
      <c r="H17">
        <v>0.2</v>
      </c>
      <c r="I17">
        <v>0</v>
      </c>
      <c r="J17">
        <v>3.5</v>
      </c>
      <c r="K17">
        <v>10.199999999999999</v>
      </c>
      <c r="L17">
        <v>14.9</v>
      </c>
      <c r="M17">
        <v>19.3</v>
      </c>
      <c r="N17">
        <v>34.200000000000003</v>
      </c>
    </row>
    <row r="18" spans="1:14">
      <c r="A18" t="s">
        <v>627</v>
      </c>
      <c r="B18" t="s">
        <v>616</v>
      </c>
      <c r="C18">
        <v>24.5</v>
      </c>
      <c r="D18">
        <v>0.9</v>
      </c>
      <c r="E18" t="s">
        <v>616</v>
      </c>
      <c r="F18">
        <v>3.9</v>
      </c>
      <c r="G18">
        <v>4.9000000000000004</v>
      </c>
      <c r="H18">
        <v>8</v>
      </c>
      <c r="I18">
        <v>0.1</v>
      </c>
      <c r="J18" t="s">
        <v>616</v>
      </c>
      <c r="K18">
        <v>27.8</v>
      </c>
      <c r="L18">
        <v>65.3</v>
      </c>
      <c r="M18">
        <v>61.1</v>
      </c>
      <c r="N18">
        <v>126.3</v>
      </c>
    </row>
    <row r="19" spans="1:14">
      <c r="A19" t="s">
        <v>628</v>
      </c>
      <c r="B19">
        <v>0.4</v>
      </c>
      <c r="C19">
        <v>419.8</v>
      </c>
      <c r="D19">
        <v>0.7</v>
      </c>
      <c r="E19">
        <v>0.2</v>
      </c>
      <c r="F19">
        <v>25.4</v>
      </c>
      <c r="G19">
        <v>26.3</v>
      </c>
      <c r="H19">
        <v>6.2</v>
      </c>
      <c r="I19">
        <v>2</v>
      </c>
      <c r="J19">
        <v>2.2000000000000002</v>
      </c>
      <c r="K19">
        <v>165.8</v>
      </c>
      <c r="L19">
        <v>617.1</v>
      </c>
      <c r="M19">
        <v>365.2</v>
      </c>
      <c r="N19">
        <v>982.3</v>
      </c>
    </row>
    <row r="20" spans="1:14">
      <c r="A20" t="s">
        <v>629</v>
      </c>
      <c r="B20">
        <v>0.9</v>
      </c>
      <c r="C20">
        <v>139.80000000000001</v>
      </c>
      <c r="D20">
        <v>1.6</v>
      </c>
      <c r="E20">
        <v>0.6</v>
      </c>
      <c r="F20">
        <v>17.3</v>
      </c>
      <c r="G20">
        <v>19.5</v>
      </c>
      <c r="H20">
        <v>12.5</v>
      </c>
      <c r="I20">
        <v>3.7</v>
      </c>
      <c r="J20">
        <v>0.3</v>
      </c>
      <c r="K20">
        <v>119.6</v>
      </c>
      <c r="L20">
        <v>295.3</v>
      </c>
      <c r="M20">
        <v>285.8</v>
      </c>
      <c r="N20">
        <v>581.1</v>
      </c>
    </row>
    <row r="21" spans="1:14">
      <c r="A21" t="s">
        <v>630</v>
      </c>
      <c r="B21">
        <v>0.7</v>
      </c>
      <c r="C21">
        <v>68.8</v>
      </c>
      <c r="D21">
        <v>1.1000000000000001</v>
      </c>
      <c r="E21">
        <v>0.1</v>
      </c>
      <c r="F21">
        <v>17.7</v>
      </c>
      <c r="G21">
        <v>18.899999999999999</v>
      </c>
      <c r="H21">
        <v>4.2</v>
      </c>
      <c r="I21">
        <v>0.4</v>
      </c>
      <c r="J21">
        <v>0.1</v>
      </c>
      <c r="K21">
        <v>49.7</v>
      </c>
      <c r="L21">
        <v>135</v>
      </c>
      <c r="M21">
        <v>109</v>
      </c>
      <c r="N21">
        <v>244</v>
      </c>
    </row>
    <row r="22" spans="1:14">
      <c r="A22" t="s">
        <v>631</v>
      </c>
      <c r="B22">
        <v>0</v>
      </c>
      <c r="C22">
        <v>74.599999999999994</v>
      </c>
      <c r="D22" t="s">
        <v>616</v>
      </c>
      <c r="E22" t="s">
        <v>616</v>
      </c>
      <c r="F22">
        <v>8.9</v>
      </c>
      <c r="G22">
        <v>9</v>
      </c>
      <c r="H22">
        <v>3.9</v>
      </c>
      <c r="I22">
        <v>0.2</v>
      </c>
      <c r="J22" t="s">
        <v>616</v>
      </c>
      <c r="K22">
        <v>48.9</v>
      </c>
      <c r="L22">
        <v>136.6</v>
      </c>
      <c r="M22">
        <v>121.3</v>
      </c>
      <c r="N22">
        <v>257.89999999999998</v>
      </c>
    </row>
    <row r="23" spans="1:14">
      <c r="A23" t="s">
        <v>632</v>
      </c>
      <c r="B23">
        <v>0.1</v>
      </c>
      <c r="C23">
        <v>56.1</v>
      </c>
      <c r="D23">
        <v>0.7</v>
      </c>
      <c r="E23">
        <v>0.6</v>
      </c>
      <c r="F23">
        <v>10.199999999999999</v>
      </c>
      <c r="G23">
        <v>11.5</v>
      </c>
      <c r="H23">
        <v>10</v>
      </c>
      <c r="I23">
        <v>1.8</v>
      </c>
      <c r="J23">
        <v>0.1</v>
      </c>
      <c r="K23">
        <v>99.4</v>
      </c>
      <c r="L23">
        <v>179</v>
      </c>
      <c r="M23">
        <v>228.8</v>
      </c>
      <c r="N23">
        <v>407.8</v>
      </c>
    </row>
    <row r="24" spans="1:14">
      <c r="A24" t="s">
        <v>633</v>
      </c>
      <c r="B24">
        <v>0</v>
      </c>
      <c r="C24">
        <v>46.6</v>
      </c>
      <c r="D24" t="s">
        <v>616</v>
      </c>
      <c r="E24" t="s">
        <v>616</v>
      </c>
      <c r="F24">
        <v>2.8</v>
      </c>
      <c r="G24">
        <v>2.8</v>
      </c>
      <c r="H24">
        <v>1.5</v>
      </c>
      <c r="I24">
        <v>0.9</v>
      </c>
      <c r="J24">
        <v>0.2</v>
      </c>
      <c r="K24">
        <v>111.5</v>
      </c>
      <c r="L24">
        <v>163.4</v>
      </c>
      <c r="M24">
        <v>221.7</v>
      </c>
      <c r="N24">
        <v>385.2</v>
      </c>
    </row>
    <row r="25" spans="1:14">
      <c r="A25" t="s">
        <v>634</v>
      </c>
      <c r="B25">
        <v>0</v>
      </c>
      <c r="C25">
        <v>1.3</v>
      </c>
      <c r="D25">
        <v>28</v>
      </c>
      <c r="E25">
        <v>3</v>
      </c>
      <c r="F25">
        <v>6</v>
      </c>
      <c r="G25">
        <v>37</v>
      </c>
      <c r="H25">
        <v>5.9</v>
      </c>
      <c r="I25">
        <v>0.1</v>
      </c>
      <c r="J25">
        <v>0.3</v>
      </c>
      <c r="K25">
        <v>14.9</v>
      </c>
      <c r="L25">
        <v>59.4</v>
      </c>
      <c r="M25">
        <v>19.8</v>
      </c>
      <c r="N25">
        <v>79.2</v>
      </c>
    </row>
    <row r="26" spans="1:14">
      <c r="A26" t="s">
        <v>635</v>
      </c>
      <c r="B26">
        <v>0.1</v>
      </c>
      <c r="C26">
        <v>86</v>
      </c>
      <c r="D26">
        <v>20.6</v>
      </c>
      <c r="E26">
        <v>0.8</v>
      </c>
      <c r="F26">
        <v>7.8</v>
      </c>
      <c r="G26">
        <v>29.1</v>
      </c>
      <c r="H26">
        <v>4.5</v>
      </c>
      <c r="I26">
        <v>0.5</v>
      </c>
      <c r="J26">
        <v>0.2</v>
      </c>
      <c r="K26">
        <v>98.7</v>
      </c>
      <c r="L26">
        <v>219.1</v>
      </c>
      <c r="M26">
        <v>228.2</v>
      </c>
      <c r="N26">
        <v>447.3</v>
      </c>
    </row>
    <row r="27" spans="1:14">
      <c r="A27" t="s">
        <v>636</v>
      </c>
      <c r="B27">
        <v>0</v>
      </c>
      <c r="C27">
        <v>129.80000000000001</v>
      </c>
      <c r="D27">
        <v>87.5</v>
      </c>
      <c r="E27">
        <v>0.6</v>
      </c>
      <c r="F27">
        <v>6.5</v>
      </c>
      <c r="G27">
        <v>94.5</v>
      </c>
      <c r="H27">
        <v>3.5</v>
      </c>
      <c r="I27">
        <v>0.1</v>
      </c>
      <c r="J27">
        <v>0.5</v>
      </c>
      <c r="K27">
        <v>73</v>
      </c>
      <c r="L27">
        <v>301.5</v>
      </c>
      <c r="M27">
        <v>125.5</v>
      </c>
      <c r="N27">
        <v>426.9</v>
      </c>
    </row>
    <row r="28" spans="1:14">
      <c r="A28" t="s">
        <v>637</v>
      </c>
      <c r="B28">
        <v>0.5</v>
      </c>
      <c r="C28">
        <v>309.3</v>
      </c>
      <c r="D28">
        <v>4</v>
      </c>
      <c r="E28">
        <v>0.4</v>
      </c>
      <c r="F28">
        <v>35.1</v>
      </c>
      <c r="G28">
        <v>39.5</v>
      </c>
      <c r="H28">
        <v>24.9</v>
      </c>
      <c r="I28">
        <v>4.2</v>
      </c>
      <c r="J28">
        <v>0.9</v>
      </c>
      <c r="K28">
        <v>118.3</v>
      </c>
      <c r="L28">
        <v>497.6</v>
      </c>
      <c r="M28">
        <v>264.5</v>
      </c>
      <c r="N28">
        <v>762.2</v>
      </c>
    </row>
    <row r="29" spans="1:14">
      <c r="A29" t="s">
        <v>638</v>
      </c>
      <c r="B29">
        <v>0.1</v>
      </c>
      <c r="C29">
        <v>124.2</v>
      </c>
      <c r="D29">
        <v>7</v>
      </c>
      <c r="E29">
        <v>0.1</v>
      </c>
      <c r="F29">
        <v>19.399999999999999</v>
      </c>
      <c r="G29">
        <v>26.6</v>
      </c>
      <c r="H29">
        <v>10.5</v>
      </c>
      <c r="I29">
        <v>1</v>
      </c>
      <c r="J29">
        <v>0.4</v>
      </c>
      <c r="K29">
        <v>76.599999999999994</v>
      </c>
      <c r="L29">
        <v>239.4</v>
      </c>
      <c r="M29">
        <v>156.4</v>
      </c>
      <c r="N29">
        <v>395.8</v>
      </c>
    </row>
    <row r="30" spans="1:14">
      <c r="A30" t="s">
        <v>639</v>
      </c>
      <c r="B30">
        <v>0</v>
      </c>
      <c r="C30">
        <v>27.7</v>
      </c>
      <c r="D30" t="s">
        <v>616</v>
      </c>
      <c r="E30">
        <v>0.1</v>
      </c>
      <c r="F30">
        <v>7.7</v>
      </c>
      <c r="G30">
        <v>7.8</v>
      </c>
      <c r="H30">
        <v>4.7</v>
      </c>
      <c r="I30" t="s">
        <v>616</v>
      </c>
      <c r="J30" t="s">
        <v>616</v>
      </c>
      <c r="K30">
        <v>68.8</v>
      </c>
      <c r="L30">
        <v>109.1</v>
      </c>
      <c r="M30">
        <v>132.69999999999999</v>
      </c>
      <c r="N30">
        <v>241.8</v>
      </c>
    </row>
    <row r="31" spans="1:14">
      <c r="A31" t="s">
        <v>640</v>
      </c>
      <c r="B31">
        <v>0.4</v>
      </c>
      <c r="C31">
        <v>108</v>
      </c>
      <c r="D31">
        <v>0.4</v>
      </c>
      <c r="E31">
        <v>0.2</v>
      </c>
      <c r="F31">
        <v>18.7</v>
      </c>
      <c r="G31">
        <v>19.2</v>
      </c>
      <c r="H31">
        <v>18.100000000000001</v>
      </c>
      <c r="I31">
        <v>0.3</v>
      </c>
      <c r="J31">
        <v>0.1</v>
      </c>
      <c r="K31">
        <v>127.3</v>
      </c>
      <c r="L31">
        <v>273.39999999999998</v>
      </c>
      <c r="M31">
        <v>283.8</v>
      </c>
      <c r="N31">
        <v>557.20000000000005</v>
      </c>
    </row>
    <row r="32" spans="1:14">
      <c r="A32" t="s">
        <v>641</v>
      </c>
      <c r="B32" t="s">
        <v>616</v>
      </c>
      <c r="C32">
        <v>21.1</v>
      </c>
      <c r="D32">
        <v>0.7</v>
      </c>
      <c r="E32" t="s">
        <v>616</v>
      </c>
      <c r="F32">
        <v>7.6</v>
      </c>
      <c r="G32">
        <v>8.1999999999999993</v>
      </c>
      <c r="H32">
        <v>5.9</v>
      </c>
      <c r="I32">
        <v>0.1</v>
      </c>
      <c r="J32" t="s">
        <v>616</v>
      </c>
      <c r="K32">
        <v>16.2</v>
      </c>
      <c r="L32">
        <v>51.6</v>
      </c>
      <c r="M32">
        <v>35.9</v>
      </c>
      <c r="N32">
        <v>87.5</v>
      </c>
    </row>
    <row r="33" spans="1:14">
      <c r="A33" t="s">
        <v>642</v>
      </c>
      <c r="B33">
        <v>0</v>
      </c>
      <c r="C33">
        <v>40.299999999999997</v>
      </c>
      <c r="D33">
        <v>0.2</v>
      </c>
      <c r="E33" t="s">
        <v>616</v>
      </c>
      <c r="F33">
        <v>8.4</v>
      </c>
      <c r="G33">
        <v>8.6</v>
      </c>
      <c r="H33">
        <v>2.2000000000000002</v>
      </c>
      <c r="I33">
        <v>0.3</v>
      </c>
      <c r="J33">
        <v>0.1</v>
      </c>
      <c r="K33">
        <v>34.5</v>
      </c>
      <c r="L33">
        <v>85.9</v>
      </c>
      <c r="M33">
        <v>79.5</v>
      </c>
      <c r="N33">
        <v>165.4</v>
      </c>
    </row>
    <row r="34" spans="1:14">
      <c r="A34" t="s">
        <v>643</v>
      </c>
      <c r="B34">
        <v>0</v>
      </c>
      <c r="C34">
        <v>40.799999999999997</v>
      </c>
      <c r="D34">
        <v>0.6</v>
      </c>
      <c r="E34">
        <v>0.1</v>
      </c>
      <c r="F34">
        <v>2.4</v>
      </c>
      <c r="G34">
        <v>3.1</v>
      </c>
      <c r="H34">
        <v>1.9</v>
      </c>
      <c r="I34">
        <v>0.3</v>
      </c>
      <c r="J34">
        <v>1.9</v>
      </c>
      <c r="K34">
        <v>39.6</v>
      </c>
      <c r="L34">
        <v>87.7</v>
      </c>
      <c r="M34">
        <v>64.7</v>
      </c>
      <c r="N34">
        <v>152.4</v>
      </c>
    </row>
    <row r="35" spans="1:14">
      <c r="A35" t="s">
        <v>644</v>
      </c>
      <c r="B35">
        <v>0</v>
      </c>
      <c r="C35">
        <v>7</v>
      </c>
      <c r="D35">
        <v>18.2</v>
      </c>
      <c r="E35">
        <v>0.9</v>
      </c>
      <c r="F35">
        <v>8.3000000000000007</v>
      </c>
      <c r="G35">
        <v>27.4</v>
      </c>
      <c r="H35">
        <v>3.3</v>
      </c>
      <c r="I35" t="s">
        <v>616</v>
      </c>
      <c r="J35">
        <v>0.1</v>
      </c>
      <c r="K35">
        <v>15.3</v>
      </c>
      <c r="L35">
        <v>53.1</v>
      </c>
      <c r="M35">
        <v>30.1</v>
      </c>
      <c r="N35">
        <v>83.3</v>
      </c>
    </row>
    <row r="36" spans="1:14">
      <c r="A36" t="s">
        <v>645</v>
      </c>
      <c r="B36">
        <v>0</v>
      </c>
      <c r="C36">
        <v>224.8</v>
      </c>
      <c r="D36">
        <v>32.700000000000003</v>
      </c>
      <c r="E36">
        <v>0.2</v>
      </c>
      <c r="F36">
        <v>5.7</v>
      </c>
      <c r="G36">
        <v>38.6</v>
      </c>
      <c r="H36">
        <v>1.4</v>
      </c>
      <c r="I36">
        <v>0.4</v>
      </c>
      <c r="J36">
        <v>3.2</v>
      </c>
      <c r="K36">
        <v>103.4</v>
      </c>
      <c r="L36">
        <v>371.7</v>
      </c>
      <c r="M36">
        <v>224.7</v>
      </c>
      <c r="N36">
        <v>596.4</v>
      </c>
    </row>
    <row r="37" spans="1:14">
      <c r="A37" t="s">
        <v>646</v>
      </c>
      <c r="B37">
        <v>0</v>
      </c>
      <c r="C37">
        <v>36</v>
      </c>
      <c r="D37" t="s">
        <v>616</v>
      </c>
      <c r="E37" t="s">
        <v>616</v>
      </c>
      <c r="F37">
        <v>6.3</v>
      </c>
      <c r="G37">
        <v>6.3</v>
      </c>
      <c r="H37">
        <v>8.8000000000000007</v>
      </c>
      <c r="I37" t="s">
        <v>616</v>
      </c>
      <c r="J37">
        <v>0.4</v>
      </c>
      <c r="K37">
        <v>23</v>
      </c>
      <c r="L37">
        <v>74.5</v>
      </c>
      <c r="M37">
        <v>48.5</v>
      </c>
      <c r="N37">
        <v>123</v>
      </c>
    </row>
    <row r="38" spans="1:14">
      <c r="A38" t="s">
        <v>647</v>
      </c>
      <c r="B38" t="s">
        <v>616</v>
      </c>
      <c r="C38">
        <v>399.7</v>
      </c>
      <c r="D38">
        <v>118.6</v>
      </c>
      <c r="E38">
        <v>5.7</v>
      </c>
      <c r="F38">
        <v>22.2</v>
      </c>
      <c r="G38">
        <v>146.5</v>
      </c>
      <c r="H38">
        <v>49.4</v>
      </c>
      <c r="I38">
        <v>0.3</v>
      </c>
      <c r="J38">
        <v>2.4</v>
      </c>
      <c r="K38">
        <v>173.8</v>
      </c>
      <c r="L38">
        <v>772</v>
      </c>
      <c r="M38">
        <v>346.1</v>
      </c>
      <c r="N38" s="47">
        <v>1118.0999999999999</v>
      </c>
    </row>
    <row r="39" spans="1:14">
      <c r="A39" t="s">
        <v>648</v>
      </c>
      <c r="B39">
        <v>0.6</v>
      </c>
      <c r="C39">
        <v>75.8</v>
      </c>
      <c r="D39">
        <v>8.5</v>
      </c>
      <c r="E39">
        <v>3.1</v>
      </c>
      <c r="F39">
        <v>24.5</v>
      </c>
      <c r="G39">
        <v>36.200000000000003</v>
      </c>
      <c r="H39">
        <v>15.1</v>
      </c>
      <c r="I39">
        <v>0.9</v>
      </c>
      <c r="J39">
        <v>0.5</v>
      </c>
      <c r="K39">
        <v>212.1</v>
      </c>
      <c r="L39">
        <v>341.1</v>
      </c>
      <c r="M39">
        <v>467.9</v>
      </c>
      <c r="N39">
        <v>809</v>
      </c>
    </row>
    <row r="40" spans="1:14">
      <c r="A40" t="s">
        <v>649</v>
      </c>
      <c r="B40">
        <v>0.2</v>
      </c>
      <c r="C40">
        <v>11.1</v>
      </c>
      <c r="D40">
        <v>1.5</v>
      </c>
      <c r="E40" t="s">
        <v>616</v>
      </c>
      <c r="F40">
        <v>5.8</v>
      </c>
      <c r="G40">
        <v>7.3</v>
      </c>
      <c r="H40">
        <v>0.4</v>
      </c>
      <c r="I40">
        <v>0.5</v>
      </c>
      <c r="J40" t="s">
        <v>616</v>
      </c>
      <c r="K40">
        <v>15</v>
      </c>
      <c r="L40">
        <v>33.1</v>
      </c>
      <c r="M40">
        <v>33.799999999999997</v>
      </c>
      <c r="N40">
        <v>66.900000000000006</v>
      </c>
    </row>
    <row r="41" spans="1:14">
      <c r="A41" t="s">
        <v>650</v>
      </c>
      <c r="B41">
        <v>0.7</v>
      </c>
      <c r="C41">
        <v>293.5</v>
      </c>
      <c r="D41">
        <v>10</v>
      </c>
      <c r="E41">
        <v>1</v>
      </c>
      <c r="F41">
        <v>20.100000000000001</v>
      </c>
      <c r="G41">
        <v>31.1</v>
      </c>
      <c r="H41">
        <v>20.5</v>
      </c>
      <c r="I41">
        <v>2.5</v>
      </c>
      <c r="J41">
        <v>0.5</v>
      </c>
      <c r="K41">
        <v>185.9</v>
      </c>
      <c r="L41">
        <v>534.5</v>
      </c>
      <c r="M41">
        <v>410.4</v>
      </c>
      <c r="N41">
        <v>944.8</v>
      </c>
    </row>
    <row r="42" spans="1:14">
      <c r="A42" t="s">
        <v>651</v>
      </c>
      <c r="B42">
        <v>0</v>
      </c>
      <c r="C42">
        <v>67.400000000000006</v>
      </c>
      <c r="D42" t="s">
        <v>616</v>
      </c>
      <c r="E42" t="s">
        <v>616</v>
      </c>
      <c r="F42">
        <v>8.1999999999999993</v>
      </c>
      <c r="G42">
        <v>8.3000000000000007</v>
      </c>
      <c r="H42">
        <v>3.1</v>
      </c>
      <c r="I42" t="s">
        <v>616</v>
      </c>
      <c r="J42">
        <v>0.1</v>
      </c>
      <c r="K42">
        <v>80.8</v>
      </c>
      <c r="L42">
        <v>159.69999999999999</v>
      </c>
      <c r="M42">
        <v>169.5</v>
      </c>
      <c r="N42">
        <v>329.2</v>
      </c>
    </row>
    <row r="43" spans="1:14">
      <c r="A43" t="s">
        <v>652</v>
      </c>
      <c r="B43">
        <v>0</v>
      </c>
      <c r="C43">
        <v>41.1</v>
      </c>
      <c r="D43">
        <v>2.6</v>
      </c>
      <c r="E43">
        <v>0.3</v>
      </c>
      <c r="F43">
        <v>2.4</v>
      </c>
      <c r="G43">
        <v>5.3</v>
      </c>
      <c r="H43">
        <v>9.6999999999999993</v>
      </c>
      <c r="I43">
        <v>0.4</v>
      </c>
      <c r="J43">
        <v>2.4</v>
      </c>
      <c r="K43">
        <v>64.3</v>
      </c>
      <c r="L43">
        <v>123.2</v>
      </c>
      <c r="M43">
        <v>116.2</v>
      </c>
      <c r="N43">
        <v>239.5</v>
      </c>
    </row>
    <row r="44" spans="1:14">
      <c r="A44" t="s">
        <v>653</v>
      </c>
      <c r="B44">
        <v>0.5</v>
      </c>
      <c r="C44">
        <v>231.9</v>
      </c>
      <c r="D44">
        <v>88.7</v>
      </c>
      <c r="E44">
        <v>4.2</v>
      </c>
      <c r="F44">
        <v>20.8</v>
      </c>
      <c r="G44">
        <v>113.7</v>
      </c>
      <c r="H44">
        <v>15.1</v>
      </c>
      <c r="I44">
        <v>1.3</v>
      </c>
      <c r="J44">
        <v>1.3</v>
      </c>
      <c r="K44">
        <v>188.5</v>
      </c>
      <c r="L44">
        <v>552.4</v>
      </c>
      <c r="M44">
        <v>391.5</v>
      </c>
      <c r="N44">
        <v>943.9</v>
      </c>
    </row>
    <row r="45" spans="1:14">
      <c r="A45" t="s">
        <v>654</v>
      </c>
      <c r="B45">
        <v>0</v>
      </c>
      <c r="C45">
        <v>17.3</v>
      </c>
      <c r="D45">
        <v>17.600000000000001</v>
      </c>
      <c r="E45">
        <v>0.1</v>
      </c>
      <c r="F45">
        <v>0.7</v>
      </c>
      <c r="G45">
        <v>18.399999999999999</v>
      </c>
      <c r="H45">
        <v>0.6</v>
      </c>
      <c r="I45" t="s">
        <v>616</v>
      </c>
      <c r="J45">
        <v>0.1</v>
      </c>
      <c r="K45">
        <v>10.6</v>
      </c>
      <c r="L45">
        <v>47.1</v>
      </c>
      <c r="M45">
        <v>14.3</v>
      </c>
      <c r="N45">
        <v>61.3</v>
      </c>
    </row>
    <row r="46" spans="1:14">
      <c r="A46" t="s">
        <v>655</v>
      </c>
      <c r="B46" t="s">
        <v>616</v>
      </c>
      <c r="C46">
        <v>33</v>
      </c>
      <c r="D46">
        <v>0.9</v>
      </c>
      <c r="E46">
        <v>0.7</v>
      </c>
      <c r="F46">
        <v>6.2</v>
      </c>
      <c r="G46">
        <v>7.8</v>
      </c>
      <c r="H46">
        <v>3.8</v>
      </c>
      <c r="I46">
        <v>0.6</v>
      </c>
      <c r="J46">
        <v>0.1</v>
      </c>
      <c r="K46">
        <v>112.1</v>
      </c>
      <c r="L46">
        <v>157.30000000000001</v>
      </c>
      <c r="M46">
        <v>245.4</v>
      </c>
      <c r="N46">
        <v>402.7</v>
      </c>
    </row>
    <row r="47" spans="1:14">
      <c r="A47" t="s">
        <v>656</v>
      </c>
      <c r="B47" t="s">
        <v>616</v>
      </c>
      <c r="C47">
        <v>12.9</v>
      </c>
      <c r="D47">
        <v>0.8</v>
      </c>
      <c r="E47" t="s">
        <v>616</v>
      </c>
      <c r="F47">
        <v>5</v>
      </c>
      <c r="G47">
        <v>5.8</v>
      </c>
      <c r="H47">
        <v>1.1000000000000001</v>
      </c>
      <c r="I47">
        <v>0.4</v>
      </c>
      <c r="J47" t="s">
        <v>616</v>
      </c>
      <c r="K47">
        <v>15.8</v>
      </c>
      <c r="L47">
        <v>36.1</v>
      </c>
      <c r="M47">
        <v>35.299999999999997</v>
      </c>
      <c r="N47">
        <v>71.400000000000006</v>
      </c>
    </row>
    <row r="48" spans="1:14">
      <c r="A48" t="s">
        <v>657</v>
      </c>
      <c r="B48">
        <v>0.2</v>
      </c>
      <c r="C48">
        <v>76</v>
      </c>
      <c r="D48">
        <v>0.9</v>
      </c>
      <c r="E48">
        <v>0.7</v>
      </c>
      <c r="F48">
        <v>10.8</v>
      </c>
      <c r="G48">
        <v>12.5</v>
      </c>
      <c r="H48">
        <v>11.3</v>
      </c>
      <c r="I48">
        <v>0.2</v>
      </c>
      <c r="J48">
        <v>0.1</v>
      </c>
      <c r="K48">
        <v>154.19999999999999</v>
      </c>
      <c r="L48">
        <v>254.5</v>
      </c>
      <c r="M48">
        <v>352.4</v>
      </c>
      <c r="N48">
        <v>606.9</v>
      </c>
    </row>
    <row r="49" spans="1:14">
      <c r="A49" t="s">
        <v>658</v>
      </c>
      <c r="B49" t="s">
        <v>616</v>
      </c>
      <c r="C49">
        <v>234</v>
      </c>
      <c r="D49" t="s">
        <v>616</v>
      </c>
      <c r="E49" t="s">
        <v>616</v>
      </c>
      <c r="F49">
        <v>20.5</v>
      </c>
      <c r="G49">
        <v>20.6</v>
      </c>
      <c r="H49">
        <v>17.899999999999999</v>
      </c>
      <c r="I49">
        <v>1.5</v>
      </c>
      <c r="J49">
        <v>1.1000000000000001</v>
      </c>
      <c r="K49">
        <v>468</v>
      </c>
      <c r="L49">
        <v>743.1</v>
      </c>
      <c r="M49">
        <v>946</v>
      </c>
      <c r="N49" s="47">
        <v>1689.1</v>
      </c>
    </row>
    <row r="50" spans="1:14">
      <c r="A50" t="s">
        <v>659</v>
      </c>
      <c r="B50">
        <v>0</v>
      </c>
      <c r="C50">
        <v>69.2</v>
      </c>
      <c r="D50">
        <v>0.1</v>
      </c>
      <c r="E50" t="s">
        <v>616</v>
      </c>
      <c r="F50">
        <v>1.7</v>
      </c>
      <c r="G50">
        <v>1.8</v>
      </c>
      <c r="H50">
        <v>1.9</v>
      </c>
      <c r="I50" t="s">
        <v>616</v>
      </c>
      <c r="J50">
        <v>0.1</v>
      </c>
      <c r="K50">
        <v>30.1</v>
      </c>
      <c r="L50">
        <v>103.2</v>
      </c>
      <c r="M50">
        <v>62.8</v>
      </c>
      <c r="N50">
        <v>166</v>
      </c>
    </row>
    <row r="51" spans="1:14">
      <c r="A51" t="s">
        <v>660</v>
      </c>
      <c r="B51">
        <v>0</v>
      </c>
      <c r="C51">
        <v>3.1</v>
      </c>
      <c r="D51">
        <v>10</v>
      </c>
      <c r="E51">
        <v>0.9</v>
      </c>
      <c r="F51">
        <v>5.9</v>
      </c>
      <c r="G51">
        <v>16.8</v>
      </c>
      <c r="H51">
        <v>3.8</v>
      </c>
      <c r="I51" t="s">
        <v>616</v>
      </c>
      <c r="J51">
        <v>0.2</v>
      </c>
      <c r="K51">
        <v>7.3</v>
      </c>
      <c r="L51">
        <v>31.2</v>
      </c>
      <c r="M51">
        <v>12.1</v>
      </c>
      <c r="N51">
        <v>43.3</v>
      </c>
    </row>
    <row r="52" spans="1:14">
      <c r="A52" s="50" t="s">
        <v>661</v>
      </c>
      <c r="B52" s="50">
        <v>0.2</v>
      </c>
      <c r="C52" s="50">
        <v>90.4</v>
      </c>
      <c r="D52" s="50">
        <v>19.3</v>
      </c>
      <c r="E52" s="50">
        <v>1.9</v>
      </c>
      <c r="F52" s="50">
        <v>13.3</v>
      </c>
      <c r="G52" s="50">
        <v>34.4</v>
      </c>
      <c r="H52" s="50">
        <v>14.9</v>
      </c>
      <c r="I52" s="50">
        <v>0.8</v>
      </c>
      <c r="J52" s="50">
        <v>1</v>
      </c>
      <c r="K52" s="50">
        <v>165.3</v>
      </c>
      <c r="L52" s="50">
        <v>307</v>
      </c>
      <c r="M52" s="50">
        <v>376.1</v>
      </c>
      <c r="N52" s="50">
        <v>683</v>
      </c>
    </row>
    <row r="53" spans="1:14">
      <c r="A53" t="s">
        <v>662</v>
      </c>
      <c r="B53">
        <v>0</v>
      </c>
      <c r="C53">
        <v>78</v>
      </c>
      <c r="D53">
        <v>5.7</v>
      </c>
      <c r="E53">
        <v>0.1</v>
      </c>
      <c r="F53">
        <v>9</v>
      </c>
      <c r="G53">
        <v>14.8</v>
      </c>
      <c r="H53">
        <v>11.1</v>
      </c>
      <c r="I53">
        <v>0.1</v>
      </c>
      <c r="J53">
        <v>0.2</v>
      </c>
      <c r="K53">
        <v>119.1</v>
      </c>
      <c r="L53">
        <v>223.4</v>
      </c>
      <c r="M53">
        <v>255.4</v>
      </c>
      <c r="N53">
        <v>478.8</v>
      </c>
    </row>
    <row r="54" spans="1:14">
      <c r="A54" t="s">
        <v>663</v>
      </c>
      <c r="B54">
        <v>0</v>
      </c>
      <c r="C54">
        <v>29.1</v>
      </c>
      <c r="D54">
        <v>1.7</v>
      </c>
      <c r="E54">
        <v>0.4</v>
      </c>
      <c r="F54">
        <v>3.2</v>
      </c>
      <c r="G54">
        <v>5.3</v>
      </c>
      <c r="H54">
        <v>9.1</v>
      </c>
      <c r="I54" t="s">
        <v>616</v>
      </c>
      <c r="J54">
        <v>0.1</v>
      </c>
      <c r="K54">
        <v>42.5</v>
      </c>
      <c r="L54">
        <v>86.1</v>
      </c>
      <c r="M54">
        <v>86.7</v>
      </c>
      <c r="N54">
        <v>172.8</v>
      </c>
    </row>
    <row r="55" spans="1:14">
      <c r="A55" t="s">
        <v>664</v>
      </c>
      <c r="B55">
        <v>0.3</v>
      </c>
      <c r="C55">
        <v>124.9</v>
      </c>
      <c r="D55">
        <v>6.6</v>
      </c>
      <c r="E55">
        <v>0.2</v>
      </c>
      <c r="F55">
        <v>23.9</v>
      </c>
      <c r="G55">
        <v>30.7</v>
      </c>
      <c r="H55">
        <v>24.5</v>
      </c>
      <c r="I55">
        <v>0.6</v>
      </c>
      <c r="J55">
        <v>0.4</v>
      </c>
      <c r="K55">
        <v>76.099999999999994</v>
      </c>
      <c r="L55">
        <v>257.5</v>
      </c>
      <c r="M55">
        <v>170.2</v>
      </c>
      <c r="N55">
        <v>427.7</v>
      </c>
    </row>
    <row r="56" spans="1:14">
      <c r="A56" t="s">
        <v>665</v>
      </c>
      <c r="B56">
        <v>0.1</v>
      </c>
      <c r="C56">
        <v>13.3</v>
      </c>
      <c r="D56">
        <v>0.2</v>
      </c>
      <c r="E56" t="s">
        <v>616</v>
      </c>
      <c r="F56">
        <v>3.3</v>
      </c>
      <c r="G56">
        <v>3.5</v>
      </c>
      <c r="H56">
        <v>1.9</v>
      </c>
      <c r="I56">
        <v>0.1</v>
      </c>
      <c r="J56" t="s">
        <v>616</v>
      </c>
      <c r="K56">
        <v>9.3000000000000007</v>
      </c>
      <c r="L56">
        <v>28.2</v>
      </c>
      <c r="M56">
        <v>20.3</v>
      </c>
      <c r="N56">
        <v>48.4</v>
      </c>
    </row>
    <row r="58" spans="1:14">
      <c r="A58" t="s">
        <v>666</v>
      </c>
      <c r="B58">
        <v>7.7</v>
      </c>
      <c r="C58" s="47">
        <v>4892.5</v>
      </c>
      <c r="D58">
        <v>582.6</v>
      </c>
      <c r="E58">
        <v>29.1</v>
      </c>
      <c r="F58">
        <v>530.1</v>
      </c>
      <c r="G58" s="47">
        <v>1141.9000000000001</v>
      </c>
      <c r="H58">
        <v>420</v>
      </c>
      <c r="I58">
        <v>36.799999999999997</v>
      </c>
      <c r="J58">
        <v>114.1</v>
      </c>
      <c r="K58" s="47">
        <v>4932.8</v>
      </c>
      <c r="L58" s="47">
        <v>11527.4</v>
      </c>
      <c r="M58" s="47">
        <v>10308.700000000001</v>
      </c>
      <c r="N58" s="47">
        <v>21836.2</v>
      </c>
    </row>
    <row r="59" spans="1:14">
      <c r="A59" t="s">
        <v>667</v>
      </c>
      <c r="B59" t="s">
        <v>668</v>
      </c>
    </row>
    <row r="60" spans="1:14">
      <c r="A60" t="s">
        <v>669</v>
      </c>
      <c r="B60" t="s">
        <v>670</v>
      </c>
    </row>
    <row r="61" spans="1:14">
      <c r="A61" t="s">
        <v>671</v>
      </c>
      <c r="B61" t="s">
        <v>672</v>
      </c>
    </row>
    <row r="62" spans="1:14">
      <c r="A62" t="s">
        <v>673</v>
      </c>
      <c r="B62" t="s">
        <v>674</v>
      </c>
    </row>
    <row r="63" spans="1:14">
      <c r="A63" t="s">
        <v>675</v>
      </c>
      <c r="B63" t="s">
        <v>676</v>
      </c>
    </row>
  </sheetData>
  <hyperlinks>
    <hyperlink ref="B1" r:id="rId1"/>
  </hyperlink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J19"/>
  <sheetViews>
    <sheetView workbookViewId="0">
      <selection activeCell="B2" sqref="B2"/>
    </sheetView>
  </sheetViews>
  <sheetFormatPr defaultRowHeight="15"/>
  <cols>
    <col min="1" max="1" width="22" bestFit="1" customWidth="1"/>
    <col min="2" max="2" width="15" customWidth="1"/>
    <col min="3" max="3" width="14.140625" bestFit="1" customWidth="1"/>
    <col min="4" max="4" width="15" customWidth="1"/>
    <col min="5" max="5" width="18" customWidth="1"/>
    <col min="6" max="6" width="14.7109375" customWidth="1"/>
    <col min="7" max="7" width="15.42578125" customWidth="1"/>
    <col min="8" max="9" width="18.140625" bestFit="1" customWidth="1"/>
  </cols>
  <sheetData>
    <row r="1" spans="1:10" s="700" customFormat="1" ht="15" customHeight="1">
      <c r="A1" s="700" t="s">
        <v>887</v>
      </c>
    </row>
    <row r="2" spans="1:10" ht="15" customHeight="1"/>
    <row r="3" spans="1:10" ht="15" customHeight="1">
      <c r="A3" s="1" t="s">
        <v>888</v>
      </c>
    </row>
    <row r="4" spans="1:10" ht="15" customHeight="1">
      <c r="A4" s="74" t="s">
        <v>1</v>
      </c>
      <c r="B4" s="563" t="s">
        <v>690</v>
      </c>
      <c r="C4" s="527"/>
      <c r="D4" s="563" t="s">
        <v>687</v>
      </c>
      <c r="E4" s="564"/>
      <c r="F4" s="1170" t="s">
        <v>691</v>
      </c>
      <c r="G4" s="1171"/>
      <c r="H4" s="518" t="s">
        <v>692</v>
      </c>
      <c r="I4" s="565"/>
      <c r="J4" s="1"/>
    </row>
    <row r="5" spans="1:10" ht="15" customHeight="1">
      <c r="A5" s="165" t="s">
        <v>686</v>
      </c>
      <c r="B5" s="58" t="str">
        <f>'ACS 2011 Housing Statistics'!$D$92</f>
        <v>165</v>
      </c>
      <c r="C5" s="33" t="s">
        <v>688</v>
      </c>
      <c r="D5" s="60">
        <v>1500000</v>
      </c>
      <c r="E5" s="61" t="s">
        <v>688</v>
      </c>
      <c r="F5" s="64">
        <f>'EIA Residential Use Estimates'!$F$52*1000000</f>
        <v>13300000</v>
      </c>
      <c r="G5" s="33" t="s">
        <v>51</v>
      </c>
      <c r="H5" s="66">
        <f>F5/D5</f>
        <v>8.8666666666666671</v>
      </c>
      <c r="I5" s="67" t="s">
        <v>689</v>
      </c>
    </row>
    <row r="6" spans="1:10" ht="15" customHeight="1">
      <c r="A6" s="165" t="s">
        <v>685</v>
      </c>
      <c r="B6" s="58" t="str">
        <f>'ACS 2011 Housing Statistics'!$D$94</f>
        <v>651</v>
      </c>
      <c r="C6" s="33" t="s">
        <v>688</v>
      </c>
      <c r="D6" s="60">
        <v>400000</v>
      </c>
      <c r="E6" s="61" t="s">
        <v>688</v>
      </c>
      <c r="F6" s="64">
        <f>('EIA Residential Use Estimates'!$D$52+'EIA Residential Use Estimates'!$E$52)*1000000</f>
        <v>21200000</v>
      </c>
      <c r="G6" s="33" t="s">
        <v>51</v>
      </c>
      <c r="H6" s="66">
        <f>F6/D6</f>
        <v>53</v>
      </c>
      <c r="I6" s="67" t="s">
        <v>689</v>
      </c>
    </row>
    <row r="7" spans="1:10" ht="15" customHeight="1">
      <c r="A7" s="166" t="s">
        <v>590</v>
      </c>
      <c r="B7" s="59" t="str">
        <f>'ACS 2011 Housing Statistics'!$D$96</f>
        <v>12</v>
      </c>
      <c r="C7" s="45" t="s">
        <v>688</v>
      </c>
      <c r="D7" s="62">
        <v>100000</v>
      </c>
      <c r="E7" s="63" t="s">
        <v>688</v>
      </c>
      <c r="F7" s="65">
        <f>'EIA Residential Use Estimates'!$H$52*1000000</f>
        <v>14900000</v>
      </c>
      <c r="G7" s="45" t="s">
        <v>51</v>
      </c>
      <c r="H7" s="68">
        <f>F7/D7</f>
        <v>149</v>
      </c>
      <c r="I7" s="69" t="s">
        <v>689</v>
      </c>
    </row>
    <row r="8" spans="1:10">
      <c r="E8" s="55"/>
      <c r="G8" s="55"/>
    </row>
    <row r="9" spans="1:10">
      <c r="A9" s="567">
        <v>2010</v>
      </c>
    </row>
    <row r="10" spans="1:10">
      <c r="A10" s="74" t="s">
        <v>1</v>
      </c>
      <c r="B10" s="563" t="s">
        <v>690</v>
      </c>
      <c r="C10" s="527"/>
      <c r="D10" s="563" t="s">
        <v>687</v>
      </c>
      <c r="E10" s="564"/>
      <c r="F10" s="1170" t="s">
        <v>691</v>
      </c>
      <c r="G10" s="1171"/>
      <c r="H10" s="518" t="s">
        <v>692</v>
      </c>
      <c r="I10" s="565"/>
    </row>
    <row r="11" spans="1:10">
      <c r="A11" s="165" t="s">
        <v>686</v>
      </c>
      <c r="B11" s="58" t="str">
        <f>'ACS 2010 Housing Statistics'!$D$92</f>
        <v>189</v>
      </c>
      <c r="C11" s="33" t="s">
        <v>688</v>
      </c>
      <c r="D11" s="60">
        <v>1500000</v>
      </c>
      <c r="E11" s="61" t="s">
        <v>688</v>
      </c>
      <c r="F11" s="64">
        <f>'EIA Residential Use Estimates'!$F$52*1000000</f>
        <v>13300000</v>
      </c>
      <c r="G11" s="33" t="s">
        <v>51</v>
      </c>
      <c r="H11" s="66">
        <f>F11/D11</f>
        <v>8.8666666666666671</v>
      </c>
      <c r="I11" s="67" t="s">
        <v>689</v>
      </c>
    </row>
    <row r="12" spans="1:10">
      <c r="A12" s="165" t="s">
        <v>685</v>
      </c>
      <c r="B12" s="58" t="str">
        <f>'ACS 2010 Housing Statistics'!$D$94</f>
        <v>698</v>
      </c>
      <c r="C12" s="33" t="s">
        <v>688</v>
      </c>
      <c r="D12" s="60">
        <v>400000</v>
      </c>
      <c r="E12" s="61" t="s">
        <v>688</v>
      </c>
      <c r="F12" s="64">
        <f>('EIA Residential Use Estimates'!$D$52+'EIA Residential Use Estimates'!$E$52)*1000000</f>
        <v>21200000</v>
      </c>
      <c r="G12" s="33" t="s">
        <v>51</v>
      </c>
      <c r="H12" s="66">
        <f>F12/D12</f>
        <v>53</v>
      </c>
      <c r="I12" s="67" t="s">
        <v>689</v>
      </c>
    </row>
    <row r="13" spans="1:10">
      <c r="A13" s="166" t="s">
        <v>590</v>
      </c>
      <c r="B13" s="59" t="str">
        <f>'ACS 2010 Housing Statistics'!$D$96</f>
        <v>12</v>
      </c>
      <c r="C13" s="45" t="s">
        <v>688</v>
      </c>
      <c r="D13" s="62">
        <v>100000</v>
      </c>
      <c r="E13" s="63" t="s">
        <v>688</v>
      </c>
      <c r="F13" s="65">
        <f>'EIA Residential Use Estimates'!$H$52*1000000</f>
        <v>14900000</v>
      </c>
      <c r="G13" s="45" t="s">
        <v>51</v>
      </c>
      <c r="H13" s="68">
        <f>F13/D13</f>
        <v>149</v>
      </c>
      <c r="I13" s="69" t="s">
        <v>689</v>
      </c>
    </row>
    <row r="15" spans="1:10">
      <c r="A15" s="568" t="s">
        <v>1568</v>
      </c>
    </row>
    <row r="16" spans="1:10">
      <c r="A16" s="74" t="s">
        <v>1</v>
      </c>
      <c r="B16" s="563" t="s">
        <v>690</v>
      </c>
      <c r="C16" s="527"/>
      <c r="D16" s="563" t="s">
        <v>687</v>
      </c>
      <c r="E16" s="564"/>
      <c r="F16" s="1170" t="s">
        <v>691</v>
      </c>
      <c r="G16" s="1171"/>
      <c r="H16" s="518" t="s">
        <v>692</v>
      </c>
      <c r="I16" s="565"/>
    </row>
    <row r="17" spans="1:9">
      <c r="A17" s="165" t="s">
        <v>686</v>
      </c>
      <c r="B17" s="58" t="str">
        <f>'ACS 2009 Housing Statistics'!$D$80</f>
        <v>117</v>
      </c>
      <c r="C17" s="33" t="s">
        <v>688</v>
      </c>
      <c r="D17" s="60">
        <v>1500000</v>
      </c>
      <c r="E17" s="61" t="s">
        <v>688</v>
      </c>
      <c r="F17" s="64">
        <f>'EIA Residential Use Estimates'!$F$52*1000000</f>
        <v>13300000</v>
      </c>
      <c r="G17" s="33" t="s">
        <v>51</v>
      </c>
      <c r="H17" s="66">
        <f>F17/D17</f>
        <v>8.8666666666666671</v>
      </c>
      <c r="I17" s="67" t="s">
        <v>689</v>
      </c>
    </row>
    <row r="18" spans="1:9">
      <c r="A18" s="165" t="s">
        <v>685</v>
      </c>
      <c r="B18" s="58" t="str">
        <f>'ACS 2009 Housing Statistics'!$D$82</f>
        <v>574</v>
      </c>
      <c r="C18" s="33" t="s">
        <v>688</v>
      </c>
      <c r="D18" s="60">
        <v>400000</v>
      </c>
      <c r="E18" s="61" t="s">
        <v>688</v>
      </c>
      <c r="F18" s="64">
        <f>('EIA Residential Use Estimates'!$D$52+'EIA Residential Use Estimates'!$E$52)*1000000</f>
        <v>21200000</v>
      </c>
      <c r="G18" s="33" t="s">
        <v>51</v>
      </c>
      <c r="H18" s="66">
        <f>F18/D18</f>
        <v>53</v>
      </c>
      <c r="I18" s="67" t="s">
        <v>689</v>
      </c>
    </row>
    <row r="19" spans="1:9">
      <c r="A19" s="166" t="s">
        <v>590</v>
      </c>
      <c r="B19" s="59" t="str">
        <f>'ACS 2009 Housing Statistics'!$D$84</f>
        <v>14</v>
      </c>
      <c r="C19" s="45" t="s">
        <v>688</v>
      </c>
      <c r="D19" s="62">
        <v>100000</v>
      </c>
      <c r="E19" s="63" t="s">
        <v>688</v>
      </c>
      <c r="F19" s="65">
        <f>'EIA Residential Use Estimates'!$H$52*1000000</f>
        <v>14900000</v>
      </c>
      <c r="G19" s="45" t="s">
        <v>51</v>
      </c>
      <c r="H19" s="68">
        <f>F19/D19</f>
        <v>149</v>
      </c>
      <c r="I19" s="69" t="s">
        <v>689</v>
      </c>
    </row>
  </sheetData>
  <mergeCells count="3">
    <mergeCell ref="F4:G4"/>
    <mergeCell ref="F10:G10"/>
    <mergeCell ref="F16:G16"/>
  </mergeCells>
  <hyperlinks>
    <hyperlink ref="B4" location="'ACS 2011 Housing Statistics'!A1" tooltip="ACS 2011 Housing Statistics" display="Number of Households"/>
    <hyperlink ref="D4" location="'EIA Fuels Used in Homes'!A1" tooltip="EIA Fuels Used in Homes" display="Number of Households (Statewide)"/>
    <hyperlink ref="F4:G4" location="'EIA Residential Use Estimates'!A1" tooltip="EIA Residential Use Estimates" display="Energy Quantity (Statewide)"/>
    <hyperlink ref="B10" location="'ACS 2010 Housing Statistics'!A1" tooltip="ACS 2010 Housing Statistics" display="Number of Households"/>
    <hyperlink ref="D10" location="'EIA Fuels Used in Homes'!A1" tooltip="EIA Fuels Used in Homes" display="Number of Households (Statewide)"/>
    <hyperlink ref="F10:G10" location="'EIA Residential Use Estimates'!A1" tooltip="EIA Residential Use Estimates" display="Energy Quantity (Statewide)"/>
    <hyperlink ref="B16" location="'ACS 2009 Housing Statistics'!A1" tooltip="ACS 2009 Housing Statistics" display="Number of Households"/>
    <hyperlink ref="D16" location="'EIA Fuels Used in Homes'!A1" tooltip="EIA Fuels Used in Homes" display="Number of Households (Statewide)"/>
    <hyperlink ref="F16:G16" location="'EIA Residential Use Estimates'!A1" tooltip="EIA Residential Use Estimates" display="Energy Quantity (Statewide)"/>
  </hyperlinks>
  <pageMargins left="0.7" right="0.7" top="0.75" bottom="0.75" header="0.3" footer="0.3"/>
  <pageSetup orientation="portrait" horizontalDpi="4294967293" verticalDpi="0" r:id="rId1"/>
</worksheet>
</file>

<file path=xl/worksheets/sheet32.xml><?xml version="1.0" encoding="utf-8"?>
<worksheet xmlns="http://schemas.openxmlformats.org/spreadsheetml/2006/main" xmlns:r="http://schemas.openxmlformats.org/officeDocument/2006/relationships">
  <dimension ref="A1:O47"/>
  <sheetViews>
    <sheetView topLeftCell="B1" zoomScale="110" zoomScaleNormal="110" workbookViewId="0">
      <selection activeCell="B7" sqref="B7:M7"/>
    </sheetView>
  </sheetViews>
  <sheetFormatPr defaultRowHeight="15"/>
  <cols>
    <col min="1" max="1" width="34.7109375" bestFit="1" customWidth="1"/>
    <col min="2" max="2" width="21.42578125" bestFit="1" customWidth="1"/>
    <col min="3" max="7" width="14" bestFit="1" customWidth="1"/>
    <col min="8" max="8" width="10.140625" bestFit="1" customWidth="1"/>
    <col min="9" max="9" width="11.140625" bestFit="1" customWidth="1"/>
    <col min="10" max="10" width="12" customWidth="1"/>
    <col min="11" max="13" width="12.140625" bestFit="1" customWidth="1"/>
    <col min="14" max="14" width="13.140625" style="1" bestFit="1" customWidth="1"/>
    <col min="15" max="15" width="22.7109375" bestFit="1" customWidth="1"/>
  </cols>
  <sheetData>
    <row r="1" spans="1:15">
      <c r="A1" s="882" t="s">
        <v>2261</v>
      </c>
      <c r="B1" s="902"/>
      <c r="C1" s="12"/>
      <c r="D1" s="12"/>
      <c r="E1" s="12"/>
      <c r="F1" s="12"/>
      <c r="G1" s="12"/>
      <c r="H1" s="12"/>
    </row>
    <row r="2" spans="1:15">
      <c r="B2" s="12"/>
      <c r="C2" s="12"/>
      <c r="D2" s="12"/>
      <c r="E2" s="12"/>
      <c r="F2" s="12"/>
      <c r="G2" s="12"/>
      <c r="H2" s="12"/>
    </row>
    <row r="3" spans="1:15">
      <c r="A3" s="315" t="s">
        <v>701</v>
      </c>
      <c r="B3" s="327" t="s">
        <v>702</v>
      </c>
      <c r="C3" s="33"/>
      <c r="D3" s="33"/>
      <c r="E3" s="33"/>
      <c r="F3" s="33"/>
      <c r="G3" s="33"/>
      <c r="H3" s="33"/>
      <c r="I3" s="33"/>
      <c r="J3" s="33"/>
      <c r="K3" s="33"/>
      <c r="L3" s="33"/>
      <c r="M3" s="33"/>
      <c r="N3" s="312"/>
      <c r="O3" s="33"/>
    </row>
    <row r="4" spans="1:15">
      <c r="A4" s="72"/>
      <c r="B4" s="33"/>
      <c r="C4" s="33"/>
      <c r="D4" s="33"/>
      <c r="E4" s="33"/>
      <c r="F4" s="33"/>
      <c r="G4" s="33"/>
      <c r="H4" s="33"/>
      <c r="I4" s="33"/>
      <c r="J4" s="33"/>
      <c r="K4" s="33"/>
      <c r="L4" s="33"/>
      <c r="M4" s="33"/>
      <c r="N4" s="312"/>
      <c r="O4" s="33"/>
    </row>
    <row r="5" spans="1:15">
      <c r="A5" s="315" t="s">
        <v>703</v>
      </c>
      <c r="B5" s="315" t="s">
        <v>704</v>
      </c>
      <c r="C5" s="325"/>
      <c r="D5" s="325"/>
      <c r="E5" s="325"/>
      <c r="F5" s="325"/>
      <c r="G5" s="325"/>
      <c r="H5" s="325"/>
      <c r="I5" s="325"/>
      <c r="J5" s="76"/>
      <c r="K5" s="76"/>
      <c r="L5" s="76"/>
      <c r="M5" s="76"/>
      <c r="N5" s="331"/>
      <c r="O5" s="218"/>
    </row>
    <row r="6" spans="1:15">
      <c r="A6" s="315" t="s">
        <v>705</v>
      </c>
      <c r="B6" s="315">
        <v>201201</v>
      </c>
      <c r="C6" s="325">
        <v>201202</v>
      </c>
      <c r="D6" s="325">
        <v>201203</v>
      </c>
      <c r="E6" s="325">
        <v>201204</v>
      </c>
      <c r="F6" s="325">
        <v>201205</v>
      </c>
      <c r="G6" s="325">
        <v>201206</v>
      </c>
      <c r="H6" s="325">
        <v>201207</v>
      </c>
      <c r="I6" s="326">
        <v>201208</v>
      </c>
      <c r="J6" s="326">
        <v>201209</v>
      </c>
      <c r="K6" s="326">
        <v>201210</v>
      </c>
      <c r="L6" s="326">
        <v>201211</v>
      </c>
      <c r="M6" s="326">
        <v>201212</v>
      </c>
      <c r="N6" s="221" t="s">
        <v>706</v>
      </c>
      <c r="O6" s="218"/>
    </row>
    <row r="7" spans="1:15">
      <c r="A7" s="316" t="s">
        <v>55</v>
      </c>
      <c r="B7" s="78">
        <v>10746612</v>
      </c>
      <c r="C7" s="77">
        <v>10388111</v>
      </c>
      <c r="D7" s="77">
        <v>8014138</v>
      </c>
      <c r="E7" s="77">
        <v>6728080</v>
      </c>
      <c r="F7" s="77">
        <v>6160617</v>
      </c>
      <c r="G7" s="77">
        <v>6344738</v>
      </c>
      <c r="H7" s="77">
        <v>8082545</v>
      </c>
      <c r="I7" s="77">
        <v>7113430</v>
      </c>
      <c r="J7" s="77">
        <v>7656993</v>
      </c>
      <c r="K7" s="77">
        <v>6426346</v>
      </c>
      <c r="L7" s="77">
        <v>8448916</v>
      </c>
      <c r="M7" s="77">
        <v>10272577</v>
      </c>
      <c r="N7" s="222">
        <f>SUM(B7:M7)</f>
        <v>96383103</v>
      </c>
      <c r="O7" s="219"/>
    </row>
    <row r="8" spans="1:15">
      <c r="A8" s="316" t="s">
        <v>56</v>
      </c>
      <c r="B8" s="78">
        <v>4590451</v>
      </c>
      <c r="C8" s="77">
        <v>4214306</v>
      </c>
      <c r="D8" s="77">
        <v>3957057</v>
      </c>
      <c r="E8" s="77">
        <v>3910603</v>
      </c>
      <c r="F8" s="77">
        <v>3896831</v>
      </c>
      <c r="G8" s="77">
        <v>4164522</v>
      </c>
      <c r="H8" s="77">
        <v>4629661</v>
      </c>
      <c r="I8" s="77">
        <v>4396462</v>
      </c>
      <c r="J8" s="77">
        <v>4218703</v>
      </c>
      <c r="K8" s="77">
        <v>3715197</v>
      </c>
      <c r="L8" s="77">
        <v>3899503</v>
      </c>
      <c r="M8" s="77">
        <v>4418253</v>
      </c>
      <c r="N8" s="222">
        <f t="shared" ref="N8:N14" si="0">SUM(B8:M8)</f>
        <v>50011549</v>
      </c>
      <c r="O8" s="219"/>
    </row>
    <row r="9" spans="1:15">
      <c r="A9" s="316" t="s">
        <v>707</v>
      </c>
      <c r="B9" s="78">
        <v>27779</v>
      </c>
      <c r="C9" s="77">
        <v>25297</v>
      </c>
      <c r="D9" s="77">
        <v>28758</v>
      </c>
      <c r="E9" s="77">
        <v>33899</v>
      </c>
      <c r="F9" s="77">
        <v>36580</v>
      </c>
      <c r="G9" s="77">
        <v>42972</v>
      </c>
      <c r="H9" s="77">
        <v>53224</v>
      </c>
      <c r="I9" s="77">
        <v>42843</v>
      </c>
      <c r="J9" s="77">
        <v>38764</v>
      </c>
      <c r="K9" s="77">
        <v>29239</v>
      </c>
      <c r="L9" s="77">
        <v>26252</v>
      </c>
      <c r="M9" s="77">
        <v>34448</v>
      </c>
      <c r="N9" s="222">
        <f t="shared" si="0"/>
        <v>420055</v>
      </c>
      <c r="O9" s="219"/>
    </row>
    <row r="10" spans="1:15">
      <c r="A10" s="316" t="s">
        <v>57</v>
      </c>
      <c r="B10" s="78">
        <v>4028322</v>
      </c>
      <c r="C10" s="77">
        <v>4175861</v>
      </c>
      <c r="D10" s="77">
        <v>4228803</v>
      </c>
      <c r="E10" s="77">
        <v>4724944</v>
      </c>
      <c r="F10" s="77">
        <v>4612984</v>
      </c>
      <c r="G10" s="77">
        <v>4790746</v>
      </c>
      <c r="H10" s="77">
        <v>5062405</v>
      </c>
      <c r="I10" s="77">
        <v>5091803</v>
      </c>
      <c r="J10" s="77">
        <v>4685682</v>
      </c>
      <c r="K10" s="77">
        <v>4428262</v>
      </c>
      <c r="L10" s="77">
        <v>4520002</v>
      </c>
      <c r="M10" s="77">
        <v>4358203</v>
      </c>
      <c r="N10" s="222">
        <f t="shared" si="0"/>
        <v>54708017</v>
      </c>
      <c r="O10" s="219"/>
    </row>
    <row r="11" spans="1:15">
      <c r="A11" s="316" t="s">
        <v>708</v>
      </c>
      <c r="B11" s="78">
        <v>272193</v>
      </c>
      <c r="C11" s="77">
        <v>256915</v>
      </c>
      <c r="D11" s="77">
        <v>250645</v>
      </c>
      <c r="E11" s="77">
        <v>247423</v>
      </c>
      <c r="F11" s="77">
        <v>242377</v>
      </c>
      <c r="G11" s="77">
        <v>241063</v>
      </c>
      <c r="H11" s="77">
        <v>258751</v>
      </c>
      <c r="I11" s="77">
        <v>260616</v>
      </c>
      <c r="J11" s="77">
        <v>254202</v>
      </c>
      <c r="K11" s="77">
        <v>239177</v>
      </c>
      <c r="L11" s="77">
        <v>242902</v>
      </c>
      <c r="M11" s="77">
        <v>279065</v>
      </c>
      <c r="N11" s="222">
        <f t="shared" si="0"/>
        <v>3045329</v>
      </c>
      <c r="O11" s="219"/>
    </row>
    <row r="12" spans="1:15">
      <c r="A12" s="316" t="s">
        <v>709</v>
      </c>
      <c r="B12" s="78">
        <v>487698</v>
      </c>
      <c r="C12" s="77">
        <v>488355</v>
      </c>
      <c r="D12" s="77">
        <v>484622</v>
      </c>
      <c r="E12" s="77">
        <v>455687</v>
      </c>
      <c r="F12" s="77">
        <v>493242</v>
      </c>
      <c r="G12" s="77">
        <v>461909</v>
      </c>
      <c r="H12" s="77">
        <v>475883</v>
      </c>
      <c r="I12" s="77">
        <v>522609</v>
      </c>
      <c r="J12" s="77">
        <v>582591</v>
      </c>
      <c r="K12" s="77">
        <v>480919</v>
      </c>
      <c r="L12" s="77">
        <v>475835</v>
      </c>
      <c r="M12" s="77">
        <v>495017</v>
      </c>
      <c r="N12" s="222">
        <f t="shared" si="0"/>
        <v>5904367</v>
      </c>
      <c r="O12" s="219"/>
    </row>
    <row r="13" spans="1:15">
      <c r="A13" s="316" t="s">
        <v>710</v>
      </c>
      <c r="B13" s="78">
        <v>81997</v>
      </c>
      <c r="C13" s="77">
        <v>74895</v>
      </c>
      <c r="D13" s="77">
        <v>71362</v>
      </c>
      <c r="E13" s="77">
        <v>71623</v>
      </c>
      <c r="F13" s="77">
        <v>73897</v>
      </c>
      <c r="G13" s="77">
        <v>69165</v>
      </c>
      <c r="H13" s="77">
        <v>66665</v>
      </c>
      <c r="I13" s="77">
        <v>67738</v>
      </c>
      <c r="J13" s="77">
        <v>67889</v>
      </c>
      <c r="K13" s="77">
        <v>73198</v>
      </c>
      <c r="L13" s="77">
        <v>78192</v>
      </c>
      <c r="M13" s="77">
        <v>85942</v>
      </c>
      <c r="N13" s="222">
        <f t="shared" si="0"/>
        <v>882563</v>
      </c>
      <c r="O13" s="219"/>
    </row>
    <row r="14" spans="1:15">
      <c r="A14" s="309" t="s">
        <v>706</v>
      </c>
      <c r="B14" s="310">
        <v>20235052</v>
      </c>
      <c r="C14" s="311">
        <v>19623740</v>
      </c>
      <c r="D14" s="311">
        <v>17035385</v>
      </c>
      <c r="E14" s="311">
        <v>16172259</v>
      </c>
      <c r="F14" s="311">
        <v>15516528</v>
      </c>
      <c r="G14" s="311">
        <v>16115115</v>
      </c>
      <c r="H14" s="311">
        <v>18629134</v>
      </c>
      <c r="I14" s="311">
        <v>17495501</v>
      </c>
      <c r="J14" s="311">
        <v>17504824</v>
      </c>
      <c r="K14" s="311">
        <v>15392338</v>
      </c>
      <c r="L14" s="311">
        <v>17691602</v>
      </c>
      <c r="M14" s="311">
        <v>19943505</v>
      </c>
      <c r="N14" s="223">
        <f t="shared" si="0"/>
        <v>211354983</v>
      </c>
      <c r="O14" s="216"/>
    </row>
    <row r="15" spans="1:15">
      <c r="A15" s="33"/>
      <c r="B15" s="77"/>
      <c r="C15" s="77"/>
      <c r="D15" s="77"/>
      <c r="E15" s="77"/>
      <c r="F15" s="77"/>
      <c r="G15" s="77"/>
      <c r="H15" s="77"/>
      <c r="I15" s="77"/>
      <c r="J15" s="216"/>
      <c r="K15" s="216"/>
      <c r="L15" s="216"/>
      <c r="M15" s="216"/>
      <c r="N15" s="314"/>
      <c r="O15" s="216"/>
    </row>
    <row r="16" spans="1:15">
      <c r="A16" s="298" t="s">
        <v>711</v>
      </c>
      <c r="B16" s="298" t="s">
        <v>704</v>
      </c>
      <c r="C16" s="299"/>
      <c r="D16" s="299"/>
      <c r="E16" s="299"/>
      <c r="F16" s="299"/>
      <c r="G16" s="299"/>
      <c r="H16" s="299"/>
      <c r="I16" s="299"/>
      <c r="J16" s="299"/>
      <c r="K16" s="299"/>
      <c r="L16" s="299"/>
      <c r="M16" s="299"/>
      <c r="N16" s="332"/>
      <c r="O16" s="216"/>
    </row>
    <row r="17" spans="1:15" s="1" customFormat="1">
      <c r="A17" s="298" t="s">
        <v>705</v>
      </c>
      <c r="B17" s="300">
        <v>201101</v>
      </c>
      <c r="C17" s="301">
        <v>201102</v>
      </c>
      <c r="D17" s="301">
        <v>201103</v>
      </c>
      <c r="E17" s="301">
        <v>201104</v>
      </c>
      <c r="F17" s="301">
        <v>201105</v>
      </c>
      <c r="G17" s="301">
        <v>201106</v>
      </c>
      <c r="H17" s="301">
        <v>201107</v>
      </c>
      <c r="I17" s="301">
        <v>201108</v>
      </c>
      <c r="J17" s="301">
        <v>201109</v>
      </c>
      <c r="K17" s="301">
        <v>201110</v>
      </c>
      <c r="L17" s="301">
        <v>201111</v>
      </c>
      <c r="M17" s="301">
        <v>201112</v>
      </c>
      <c r="N17" s="333" t="s">
        <v>706</v>
      </c>
      <c r="O17" s="314"/>
    </row>
    <row r="18" spans="1:15">
      <c r="A18" s="298" t="s">
        <v>55</v>
      </c>
      <c r="B18" s="302">
        <v>12896710</v>
      </c>
      <c r="C18" s="303">
        <v>11546233</v>
      </c>
      <c r="D18" s="303">
        <v>8469514</v>
      </c>
      <c r="E18" s="303">
        <v>8004008</v>
      </c>
      <c r="F18" s="303">
        <v>6358747</v>
      </c>
      <c r="G18" s="303">
        <v>6867068</v>
      </c>
      <c r="H18" s="303">
        <v>8060338</v>
      </c>
      <c r="I18" s="303">
        <v>8029037</v>
      </c>
      <c r="J18" s="303">
        <v>7585354</v>
      </c>
      <c r="K18" s="303">
        <v>6499323</v>
      </c>
      <c r="L18" s="303">
        <v>7890690</v>
      </c>
      <c r="M18" s="303">
        <v>9926566</v>
      </c>
      <c r="N18" s="334">
        <v>102133588</v>
      </c>
      <c r="O18" s="216"/>
    </row>
    <row r="19" spans="1:15">
      <c r="A19" s="304" t="s">
        <v>56</v>
      </c>
      <c r="B19" s="305">
        <v>4989795</v>
      </c>
      <c r="C19" s="306">
        <v>4511945</v>
      </c>
      <c r="D19" s="306">
        <v>3999683</v>
      </c>
      <c r="E19" s="306">
        <v>3988805</v>
      </c>
      <c r="F19" s="306">
        <v>4104229</v>
      </c>
      <c r="G19" s="306">
        <v>4306697</v>
      </c>
      <c r="H19" s="306">
        <v>4759059</v>
      </c>
      <c r="I19" s="306">
        <v>4724921</v>
      </c>
      <c r="J19" s="306">
        <v>4417074</v>
      </c>
      <c r="K19" s="306">
        <v>3867061</v>
      </c>
      <c r="L19" s="306">
        <v>3930373</v>
      </c>
      <c r="M19" s="306">
        <v>4682210</v>
      </c>
      <c r="N19" s="335">
        <v>52281852</v>
      </c>
      <c r="O19" s="216"/>
    </row>
    <row r="20" spans="1:15">
      <c r="A20" s="304" t="s">
        <v>707</v>
      </c>
      <c r="B20" s="305">
        <v>29297</v>
      </c>
      <c r="C20" s="306">
        <v>27574</v>
      </c>
      <c r="D20" s="306">
        <v>24266</v>
      </c>
      <c r="E20" s="306">
        <v>26444</v>
      </c>
      <c r="F20" s="306">
        <v>28230</v>
      </c>
      <c r="G20" s="306">
        <v>36184</v>
      </c>
      <c r="H20" s="306">
        <v>40581</v>
      </c>
      <c r="I20" s="306">
        <v>42055</v>
      </c>
      <c r="J20" s="306">
        <v>34464</v>
      </c>
      <c r="K20" s="306">
        <v>25173</v>
      </c>
      <c r="L20" s="306">
        <v>25875</v>
      </c>
      <c r="M20" s="306">
        <v>29066</v>
      </c>
      <c r="N20" s="335">
        <v>369209</v>
      </c>
      <c r="O20" s="216"/>
    </row>
    <row r="21" spans="1:15">
      <c r="A21" s="304" t="s">
        <v>57</v>
      </c>
      <c r="B21" s="305">
        <v>3775078</v>
      </c>
      <c r="C21" s="306">
        <v>4288717</v>
      </c>
      <c r="D21" s="306">
        <v>3987956</v>
      </c>
      <c r="E21" s="306">
        <v>3280676</v>
      </c>
      <c r="F21" s="306">
        <v>5103719</v>
      </c>
      <c r="G21" s="306">
        <v>4486021</v>
      </c>
      <c r="H21" s="306">
        <v>4233757</v>
      </c>
      <c r="I21" s="306">
        <v>4896838</v>
      </c>
      <c r="J21" s="306">
        <v>4412720</v>
      </c>
      <c r="K21" s="306">
        <v>4261700</v>
      </c>
      <c r="L21" s="306">
        <v>4062560</v>
      </c>
      <c r="M21" s="306">
        <v>4132208</v>
      </c>
      <c r="N21" s="335">
        <v>50921950</v>
      </c>
      <c r="O21" s="216"/>
    </row>
    <row r="22" spans="1:15">
      <c r="A22" s="304" t="s">
        <v>708</v>
      </c>
      <c r="B22" s="305">
        <v>283021</v>
      </c>
      <c r="C22" s="306">
        <v>277557</v>
      </c>
      <c r="D22" s="306">
        <v>253211</v>
      </c>
      <c r="E22" s="306">
        <v>253613</v>
      </c>
      <c r="F22" s="306">
        <v>257369</v>
      </c>
      <c r="G22" s="306">
        <v>247986</v>
      </c>
      <c r="H22" s="306">
        <v>260507</v>
      </c>
      <c r="I22" s="306">
        <v>260936</v>
      </c>
      <c r="J22" s="306">
        <v>271809</v>
      </c>
      <c r="K22" s="306">
        <v>233843</v>
      </c>
      <c r="L22" s="306">
        <v>244854</v>
      </c>
      <c r="M22" s="306">
        <v>277552</v>
      </c>
      <c r="N22" s="335">
        <v>3122258</v>
      </c>
      <c r="O22" s="216"/>
    </row>
    <row r="23" spans="1:15">
      <c r="A23" s="304" t="s">
        <v>709</v>
      </c>
      <c r="B23" s="305">
        <v>541723</v>
      </c>
      <c r="C23" s="306">
        <v>327267</v>
      </c>
      <c r="D23" s="306">
        <v>630576</v>
      </c>
      <c r="E23" s="306">
        <v>713610</v>
      </c>
      <c r="F23" s="306">
        <v>570718</v>
      </c>
      <c r="G23" s="306">
        <v>573799</v>
      </c>
      <c r="H23" s="306">
        <v>576717</v>
      </c>
      <c r="I23" s="306">
        <v>578866</v>
      </c>
      <c r="J23" s="306">
        <v>602405</v>
      </c>
      <c r="K23" s="306">
        <v>527083</v>
      </c>
      <c r="L23" s="306">
        <v>489051</v>
      </c>
      <c r="M23" s="306">
        <v>531817</v>
      </c>
      <c r="N23" s="335">
        <v>6663632</v>
      </c>
    </row>
    <row r="24" spans="1:15">
      <c r="A24" s="304" t="s">
        <v>710</v>
      </c>
      <c r="B24" s="305">
        <v>68597</v>
      </c>
      <c r="C24" s="306">
        <v>67262</v>
      </c>
      <c r="D24" s="306">
        <v>64614</v>
      </c>
      <c r="E24" s="306">
        <v>63856</v>
      </c>
      <c r="F24" s="306">
        <v>66307</v>
      </c>
      <c r="G24" s="306">
        <v>58612</v>
      </c>
      <c r="H24" s="306">
        <v>56451</v>
      </c>
      <c r="I24" s="306">
        <v>73357</v>
      </c>
      <c r="J24" s="306">
        <v>75027</v>
      </c>
      <c r="K24" s="306">
        <v>72111</v>
      </c>
      <c r="L24" s="306">
        <v>75223</v>
      </c>
      <c r="M24" s="306">
        <v>83656</v>
      </c>
      <c r="N24" s="335">
        <v>825073</v>
      </c>
    </row>
    <row r="25" spans="1:15" s="1" customFormat="1">
      <c r="A25" s="328" t="s">
        <v>706</v>
      </c>
      <c r="B25" s="329">
        <v>22584221</v>
      </c>
      <c r="C25" s="318">
        <v>21046555</v>
      </c>
      <c r="D25" s="318">
        <v>17429820</v>
      </c>
      <c r="E25" s="318">
        <v>16331012</v>
      </c>
      <c r="F25" s="318">
        <v>16489319</v>
      </c>
      <c r="G25" s="318">
        <v>16576367</v>
      </c>
      <c r="H25" s="318">
        <v>17987410</v>
      </c>
      <c r="I25" s="318">
        <v>18606010</v>
      </c>
      <c r="J25" s="318">
        <v>17398853</v>
      </c>
      <c r="K25" s="318">
        <v>15486294</v>
      </c>
      <c r="L25" s="318">
        <v>16718626</v>
      </c>
      <c r="M25" s="318">
        <v>19663075</v>
      </c>
      <c r="N25" s="330">
        <v>216317562</v>
      </c>
    </row>
    <row r="26" spans="1:15">
      <c r="A26" s="33"/>
      <c r="B26" s="33"/>
      <c r="C26" s="33"/>
      <c r="D26" s="33"/>
      <c r="E26" s="33"/>
      <c r="F26" s="33"/>
      <c r="G26" s="33"/>
      <c r="H26" s="33"/>
      <c r="I26" s="33"/>
      <c r="J26" s="33"/>
      <c r="K26" s="33"/>
      <c r="L26" s="33"/>
      <c r="M26" s="33"/>
      <c r="N26" s="312"/>
    </row>
    <row r="27" spans="1:15">
      <c r="A27" s="298" t="s">
        <v>889</v>
      </c>
      <c r="B27" s="298" t="s">
        <v>704</v>
      </c>
      <c r="C27" s="299"/>
      <c r="D27" s="299"/>
      <c r="E27" s="299"/>
      <c r="F27" s="299"/>
      <c r="G27" s="299"/>
      <c r="H27" s="299"/>
      <c r="I27" s="299"/>
      <c r="J27" s="299"/>
      <c r="K27" s="299"/>
      <c r="L27" s="299"/>
      <c r="M27" s="299"/>
      <c r="N27" s="332"/>
    </row>
    <row r="28" spans="1:15">
      <c r="A28" s="298" t="s">
        <v>705</v>
      </c>
      <c r="B28" s="300">
        <v>201001</v>
      </c>
      <c r="C28" s="301">
        <v>201002</v>
      </c>
      <c r="D28" s="301">
        <v>201003</v>
      </c>
      <c r="E28" s="301">
        <v>201004</v>
      </c>
      <c r="F28" s="301">
        <v>201005</v>
      </c>
      <c r="G28" s="301">
        <v>201006</v>
      </c>
      <c r="H28" s="301">
        <v>201007</v>
      </c>
      <c r="I28" s="301">
        <v>201008</v>
      </c>
      <c r="J28" s="301">
        <v>201009</v>
      </c>
      <c r="K28" s="301">
        <v>201010</v>
      </c>
      <c r="L28" s="301">
        <v>201011</v>
      </c>
      <c r="M28" s="301">
        <v>201012</v>
      </c>
      <c r="N28" s="333" t="s">
        <v>706</v>
      </c>
    </row>
    <row r="29" spans="1:15">
      <c r="A29" s="298" t="s">
        <v>55</v>
      </c>
      <c r="B29" s="302">
        <v>14232507</v>
      </c>
      <c r="C29" s="303">
        <v>14091251</v>
      </c>
      <c r="D29" s="303">
        <v>9931770</v>
      </c>
      <c r="E29" s="303">
        <v>7123649</v>
      </c>
      <c r="F29" s="303">
        <v>6709529</v>
      </c>
      <c r="G29" s="303">
        <v>7246608</v>
      </c>
      <c r="H29" s="303">
        <v>8580018</v>
      </c>
      <c r="I29" s="303">
        <v>8136358</v>
      </c>
      <c r="J29" s="303">
        <v>8082187</v>
      </c>
      <c r="K29" s="303">
        <v>6692813</v>
      </c>
      <c r="L29" s="303">
        <v>7381294</v>
      </c>
      <c r="M29" s="303">
        <v>14364725</v>
      </c>
      <c r="N29" s="334">
        <v>112572709</v>
      </c>
    </row>
    <row r="30" spans="1:15">
      <c r="A30" s="304" t="s">
        <v>56</v>
      </c>
      <c r="B30" s="305">
        <v>5207520</v>
      </c>
      <c r="C30" s="306">
        <v>4765445</v>
      </c>
      <c r="D30" s="306">
        <v>4304669</v>
      </c>
      <c r="E30" s="306">
        <v>4037050</v>
      </c>
      <c r="F30" s="306">
        <v>3878629</v>
      </c>
      <c r="G30" s="306">
        <v>4609540</v>
      </c>
      <c r="H30" s="306">
        <v>4851089</v>
      </c>
      <c r="I30" s="306">
        <v>4879481</v>
      </c>
      <c r="J30" s="306">
        <v>4832111</v>
      </c>
      <c r="K30" s="306">
        <v>3790267</v>
      </c>
      <c r="L30" s="306">
        <v>3939856</v>
      </c>
      <c r="M30" s="306">
        <v>5112037</v>
      </c>
      <c r="N30" s="335">
        <v>54207694</v>
      </c>
    </row>
    <row r="31" spans="1:15">
      <c r="A31" s="304" t="s">
        <v>707</v>
      </c>
      <c r="B31" s="305">
        <v>33194</v>
      </c>
      <c r="C31" s="306">
        <v>30679</v>
      </c>
      <c r="D31" s="306">
        <v>28186</v>
      </c>
      <c r="E31" s="306">
        <v>27793</v>
      </c>
      <c r="F31" s="306">
        <v>27008</v>
      </c>
      <c r="G31" s="306">
        <v>37090</v>
      </c>
      <c r="H31" s="306">
        <v>43594</v>
      </c>
      <c r="I31" s="306">
        <v>45037</v>
      </c>
      <c r="J31" s="306">
        <v>37375</v>
      </c>
      <c r="K31" s="306">
        <v>24548</v>
      </c>
      <c r="L31" s="306">
        <v>24472</v>
      </c>
      <c r="M31" s="306">
        <v>31457</v>
      </c>
      <c r="N31" s="335">
        <v>390433</v>
      </c>
    </row>
    <row r="32" spans="1:15">
      <c r="A32" s="304" t="s">
        <v>57</v>
      </c>
      <c r="B32" s="305">
        <v>3090897</v>
      </c>
      <c r="C32" s="306">
        <v>3984498</v>
      </c>
      <c r="D32" s="306">
        <v>3659014</v>
      </c>
      <c r="E32" s="306">
        <v>3725558</v>
      </c>
      <c r="F32" s="306">
        <v>4480197</v>
      </c>
      <c r="G32" s="306">
        <v>4439195</v>
      </c>
      <c r="H32" s="306">
        <v>4626322</v>
      </c>
      <c r="I32" s="306">
        <v>4699796</v>
      </c>
      <c r="J32" s="306">
        <v>4740977</v>
      </c>
      <c r="K32" s="306">
        <v>4247376</v>
      </c>
      <c r="L32" s="306">
        <v>3942155</v>
      </c>
      <c r="M32" s="306">
        <v>3918562</v>
      </c>
      <c r="N32" s="335">
        <v>49554547</v>
      </c>
    </row>
    <row r="33" spans="1:14">
      <c r="A33" s="304" t="s">
        <v>708</v>
      </c>
      <c r="B33" s="305">
        <v>292253</v>
      </c>
      <c r="C33" s="306">
        <v>261535</v>
      </c>
      <c r="D33" s="306">
        <v>267404</v>
      </c>
      <c r="E33" s="306">
        <v>245000</v>
      </c>
      <c r="F33" s="306">
        <v>216620</v>
      </c>
      <c r="G33" s="306">
        <v>241871</v>
      </c>
      <c r="H33" s="306">
        <v>246400</v>
      </c>
      <c r="I33" s="306">
        <v>243176</v>
      </c>
      <c r="J33" s="306">
        <v>260591</v>
      </c>
      <c r="K33" s="306">
        <v>212249</v>
      </c>
      <c r="L33" s="306">
        <v>226125</v>
      </c>
      <c r="M33" s="306">
        <v>295838</v>
      </c>
      <c r="N33" s="335">
        <v>3009062</v>
      </c>
    </row>
    <row r="34" spans="1:14">
      <c r="A34" s="304" t="s">
        <v>709</v>
      </c>
      <c r="B34" s="305">
        <v>488503</v>
      </c>
      <c r="C34" s="306">
        <v>503425</v>
      </c>
      <c r="D34" s="306">
        <v>580750</v>
      </c>
      <c r="E34" s="306">
        <v>620123</v>
      </c>
      <c r="F34" s="306">
        <v>572300</v>
      </c>
      <c r="G34" s="306">
        <v>670501</v>
      </c>
      <c r="H34" s="306">
        <v>618151</v>
      </c>
      <c r="I34" s="306">
        <v>595966</v>
      </c>
      <c r="J34" s="306">
        <v>701261</v>
      </c>
      <c r="K34" s="306">
        <v>513605</v>
      </c>
      <c r="L34" s="306">
        <v>550690</v>
      </c>
      <c r="M34" s="306">
        <v>624351</v>
      </c>
      <c r="N34" s="335">
        <v>7039626</v>
      </c>
    </row>
    <row r="35" spans="1:14">
      <c r="A35" s="304" t="s">
        <v>710</v>
      </c>
      <c r="B35" s="305">
        <v>66476</v>
      </c>
      <c r="C35" s="306">
        <v>58544</v>
      </c>
      <c r="D35" s="306">
        <v>58485</v>
      </c>
      <c r="E35" s="306">
        <v>57202</v>
      </c>
      <c r="F35" s="306">
        <v>59292</v>
      </c>
      <c r="G35" s="306">
        <v>67826</v>
      </c>
      <c r="H35" s="306">
        <v>35375</v>
      </c>
      <c r="I35" s="306">
        <v>103694</v>
      </c>
      <c r="J35" s="306">
        <v>73303</v>
      </c>
      <c r="K35" s="306">
        <v>68495</v>
      </c>
      <c r="L35" s="306">
        <v>67647</v>
      </c>
      <c r="M35" s="306">
        <v>72710</v>
      </c>
      <c r="N35" s="335">
        <v>789049</v>
      </c>
    </row>
    <row r="36" spans="1:14">
      <c r="A36" s="328" t="s">
        <v>706</v>
      </c>
      <c r="B36" s="329">
        <v>23411350</v>
      </c>
      <c r="C36" s="318">
        <v>23695377</v>
      </c>
      <c r="D36" s="318">
        <v>18830278</v>
      </c>
      <c r="E36" s="318">
        <v>15836375</v>
      </c>
      <c r="F36" s="318">
        <v>15943575</v>
      </c>
      <c r="G36" s="318">
        <v>17312631</v>
      </c>
      <c r="H36" s="318">
        <v>19000949</v>
      </c>
      <c r="I36" s="318">
        <v>18703508</v>
      </c>
      <c r="J36" s="318">
        <v>18727805</v>
      </c>
      <c r="K36" s="318">
        <v>15549353</v>
      </c>
      <c r="L36" s="318">
        <v>16132239</v>
      </c>
      <c r="M36" s="318">
        <v>24419680</v>
      </c>
      <c r="N36" s="330">
        <v>227563120</v>
      </c>
    </row>
    <row r="37" spans="1:14">
      <c r="A37" s="33"/>
      <c r="B37" s="33"/>
      <c r="C37" s="33"/>
      <c r="D37" s="33"/>
      <c r="E37" s="33"/>
      <c r="F37" s="33"/>
      <c r="G37" s="33"/>
      <c r="H37" s="33"/>
      <c r="I37" s="33"/>
      <c r="J37" s="33"/>
      <c r="K37" s="33"/>
      <c r="L37" s="33"/>
      <c r="M37" s="33"/>
      <c r="N37" s="312"/>
    </row>
    <row r="38" spans="1:14">
      <c r="A38" s="33"/>
      <c r="B38" s="33"/>
      <c r="C38" s="33"/>
      <c r="D38" s="33"/>
      <c r="E38" s="33"/>
      <c r="F38" s="33"/>
      <c r="G38" s="33"/>
      <c r="H38" s="33"/>
      <c r="I38" s="33"/>
      <c r="J38" s="33"/>
      <c r="K38" s="33"/>
      <c r="L38" s="33"/>
      <c r="M38" s="33"/>
      <c r="N38" s="312"/>
    </row>
    <row r="39" spans="1:14">
      <c r="A39" s="33"/>
      <c r="B39" s="307"/>
      <c r="C39" s="307"/>
      <c r="D39" s="307"/>
      <c r="E39" s="307"/>
      <c r="F39" s="307"/>
      <c r="G39" s="307"/>
      <c r="H39" s="307"/>
      <c r="I39" s="307"/>
      <c r="J39" s="307"/>
      <c r="K39" s="307"/>
      <c r="L39" s="307"/>
      <c r="M39" s="307"/>
      <c r="N39" s="313"/>
    </row>
    <row r="40" spans="1:14">
      <c r="A40" s="33"/>
      <c r="B40" s="77"/>
      <c r="C40" s="77"/>
      <c r="D40" s="77"/>
      <c r="E40" s="77"/>
      <c r="F40" s="77"/>
      <c r="G40" s="77"/>
      <c r="H40" s="77"/>
      <c r="I40" s="77"/>
      <c r="J40" s="77"/>
      <c r="K40" s="77"/>
      <c r="L40" s="77"/>
      <c r="M40" s="77"/>
      <c r="N40" s="336"/>
    </row>
    <row r="41" spans="1:14">
      <c r="A41" s="33"/>
      <c r="B41" s="77"/>
      <c r="C41" s="77"/>
      <c r="D41" s="77"/>
      <c r="E41" s="77"/>
      <c r="F41" s="77"/>
      <c r="G41" s="77"/>
      <c r="H41" s="77"/>
      <c r="I41" s="77"/>
      <c r="J41" s="77"/>
      <c r="K41" s="77"/>
      <c r="L41" s="77"/>
      <c r="M41" s="77"/>
      <c r="N41" s="336"/>
    </row>
    <row r="42" spans="1:14">
      <c r="A42" s="33"/>
      <c r="B42" s="77"/>
      <c r="C42" s="77"/>
      <c r="D42" s="77"/>
      <c r="E42" s="77"/>
      <c r="F42" s="77"/>
      <c r="G42" s="77"/>
      <c r="H42" s="77"/>
      <c r="I42" s="77"/>
      <c r="J42" s="77"/>
      <c r="K42" s="77"/>
      <c r="L42" s="77"/>
      <c r="M42" s="77"/>
      <c r="N42" s="336"/>
    </row>
    <row r="43" spans="1:14">
      <c r="A43" s="33"/>
      <c r="B43" s="77"/>
      <c r="C43" s="77"/>
      <c r="D43" s="77"/>
      <c r="E43" s="77"/>
      <c r="F43" s="77"/>
      <c r="G43" s="77"/>
      <c r="H43" s="77"/>
      <c r="I43" s="77"/>
      <c r="J43" s="77"/>
      <c r="K43" s="77"/>
      <c r="L43" s="77"/>
      <c r="M43" s="77"/>
      <c r="N43" s="336"/>
    </row>
    <row r="44" spans="1:14">
      <c r="A44" s="33"/>
      <c r="B44" s="77"/>
      <c r="C44" s="77"/>
      <c r="D44" s="77"/>
      <c r="E44" s="77"/>
      <c r="F44" s="77"/>
      <c r="G44" s="77"/>
      <c r="H44" s="77"/>
      <c r="I44" s="77"/>
      <c r="J44" s="77"/>
      <c r="K44" s="77"/>
      <c r="L44" s="77"/>
      <c r="M44" s="77"/>
      <c r="N44" s="336"/>
    </row>
    <row r="45" spans="1:14">
      <c r="A45" s="33"/>
      <c r="B45" s="77"/>
      <c r="C45" s="77"/>
      <c r="D45" s="77"/>
      <c r="E45" s="77"/>
      <c r="F45" s="77"/>
      <c r="G45" s="77"/>
      <c r="H45" s="77"/>
      <c r="I45" s="77"/>
      <c r="J45" s="77"/>
      <c r="K45" s="77"/>
      <c r="L45" s="77"/>
      <c r="M45" s="77"/>
      <c r="N45" s="336"/>
    </row>
    <row r="46" spans="1:14">
      <c r="A46" s="33"/>
      <c r="B46" s="77"/>
      <c r="C46" s="77"/>
      <c r="D46" s="77"/>
      <c r="E46" s="77"/>
      <c r="F46" s="77"/>
      <c r="G46" s="77"/>
      <c r="H46" s="77"/>
      <c r="I46" s="77"/>
      <c r="J46" s="77"/>
      <c r="K46" s="77"/>
      <c r="L46" s="77"/>
      <c r="M46" s="77"/>
      <c r="N46" s="336"/>
    </row>
    <row r="47" spans="1:14">
      <c r="A47" s="33"/>
      <c r="B47" s="77"/>
      <c r="C47" s="77"/>
      <c r="D47" s="77"/>
      <c r="E47" s="77"/>
      <c r="F47" s="77"/>
      <c r="G47" s="77"/>
      <c r="H47" s="77"/>
      <c r="I47" s="77"/>
      <c r="J47" s="77"/>
      <c r="K47" s="77"/>
      <c r="L47" s="77"/>
      <c r="M47" s="77"/>
      <c r="N47" s="336"/>
    </row>
  </sheetData>
  <pageMargins left="0.7" right="0.7" top="0.75" bottom="0.75" header="0.3" footer="0.3"/>
  <pageSetup orientation="portrait" horizontalDpi="4294967293" verticalDpi="0" r:id="rId1"/>
</worksheet>
</file>

<file path=xl/worksheets/sheet33.xml><?xml version="1.0" encoding="utf-8"?>
<worksheet xmlns="http://schemas.openxmlformats.org/spreadsheetml/2006/main" xmlns:r="http://schemas.openxmlformats.org/officeDocument/2006/relationships">
  <dimension ref="A1:BU32"/>
  <sheetViews>
    <sheetView topLeftCell="D4" workbookViewId="0">
      <selection activeCell="N28" sqref="N28:S28"/>
    </sheetView>
  </sheetViews>
  <sheetFormatPr defaultRowHeight="15"/>
  <cols>
    <col min="2" max="2" width="10.28515625" bestFit="1" customWidth="1"/>
    <col min="3" max="3" width="18.7109375" bestFit="1" customWidth="1"/>
    <col min="4" max="4" width="8.5703125" bestFit="1" customWidth="1"/>
    <col min="5" max="5" width="29.42578125" bestFit="1" customWidth="1"/>
    <col min="6" max="6" width="13.7109375" bestFit="1" customWidth="1"/>
    <col min="7" max="7" width="13.140625" bestFit="1" customWidth="1"/>
    <col min="8" max="13" width="10.7109375" customWidth="1"/>
    <col min="14" max="19" width="14.140625" bestFit="1" customWidth="1"/>
    <col min="20" max="20" width="11.140625" bestFit="1" customWidth="1"/>
  </cols>
  <sheetData>
    <row r="1" spans="1:73">
      <c r="A1" s="882" t="s">
        <v>2261</v>
      </c>
      <c r="B1" s="902"/>
      <c r="C1" s="73"/>
      <c r="D1" s="73"/>
      <c r="E1" s="883"/>
      <c r="N1" s="12"/>
      <c r="O1" s="12"/>
      <c r="P1" s="12"/>
      <c r="Q1" s="12"/>
      <c r="R1" s="12"/>
      <c r="S1" s="12"/>
      <c r="T1" s="12"/>
    </row>
    <row r="3" spans="1:73" s="320" customFormat="1" ht="11.25">
      <c r="A3" s="320" t="s">
        <v>899</v>
      </c>
      <c r="B3" s="320" t="s">
        <v>900</v>
      </c>
      <c r="C3" s="320" t="s">
        <v>901</v>
      </c>
      <c r="D3" s="321" t="s">
        <v>902</v>
      </c>
      <c r="E3" s="320" t="s">
        <v>903</v>
      </c>
      <c r="F3" s="320" t="s">
        <v>904</v>
      </c>
      <c r="G3" s="320" t="s">
        <v>905</v>
      </c>
      <c r="H3" s="322" t="s">
        <v>906</v>
      </c>
      <c r="I3" s="322" t="s">
        <v>907</v>
      </c>
      <c r="J3" s="322" t="s">
        <v>908</v>
      </c>
      <c r="K3" s="322" t="s">
        <v>909</v>
      </c>
      <c r="L3" s="322" t="s">
        <v>910</v>
      </c>
      <c r="M3" s="322" t="s">
        <v>911</v>
      </c>
      <c r="N3" s="322" t="s">
        <v>912</v>
      </c>
      <c r="O3" s="322" t="s">
        <v>913</v>
      </c>
      <c r="P3" s="322" t="s">
        <v>914</v>
      </c>
      <c r="Q3" s="322" t="s">
        <v>915</v>
      </c>
      <c r="R3" s="322" t="s">
        <v>916</v>
      </c>
      <c r="S3" s="322" t="s">
        <v>917</v>
      </c>
      <c r="T3" s="320" t="s">
        <v>846</v>
      </c>
      <c r="BD3" s="322" t="s">
        <v>954</v>
      </c>
      <c r="BE3" s="322" t="s">
        <v>955</v>
      </c>
      <c r="BF3" s="322" t="s">
        <v>956</v>
      </c>
      <c r="BG3" s="322" t="s">
        <v>957</v>
      </c>
      <c r="BH3" s="322" t="s">
        <v>958</v>
      </c>
      <c r="BI3" s="322" t="s">
        <v>959</v>
      </c>
      <c r="BJ3" s="322" t="s">
        <v>960</v>
      </c>
      <c r="BK3" s="322" t="s">
        <v>961</v>
      </c>
      <c r="BL3" s="322" t="s">
        <v>962</v>
      </c>
      <c r="BM3" s="322" t="s">
        <v>963</v>
      </c>
      <c r="BN3" s="322" t="s">
        <v>964</v>
      </c>
      <c r="BO3" s="322" t="s">
        <v>965</v>
      </c>
      <c r="BP3" s="322"/>
      <c r="BQ3" s="322"/>
      <c r="BR3" s="322"/>
      <c r="BS3" s="322"/>
      <c r="BT3" s="322"/>
      <c r="BU3" s="322"/>
    </row>
    <row r="4" spans="1:73">
      <c r="A4" s="55" t="s">
        <v>42</v>
      </c>
      <c r="B4" s="55">
        <v>50</v>
      </c>
      <c r="C4" t="s">
        <v>890</v>
      </c>
      <c r="D4" s="319">
        <v>13</v>
      </c>
      <c r="E4" t="s">
        <v>891</v>
      </c>
      <c r="F4" s="55" t="s">
        <v>892</v>
      </c>
      <c r="G4" t="s">
        <v>893</v>
      </c>
      <c r="H4" s="297">
        <v>8034557</v>
      </c>
      <c r="I4" s="297">
        <v>9184800</v>
      </c>
      <c r="J4" s="297">
        <v>6468000</v>
      </c>
      <c r="K4" s="297">
        <v>5523169</v>
      </c>
      <c r="L4" s="297">
        <v>4426089</v>
      </c>
      <c r="M4" s="297">
        <v>4791196</v>
      </c>
      <c r="N4" s="297">
        <v>6198422</v>
      </c>
      <c r="O4" s="297">
        <v>6008622</v>
      </c>
      <c r="P4" s="297">
        <v>6611871</v>
      </c>
      <c r="Q4" s="297">
        <v>5749761</v>
      </c>
      <c r="R4" s="297">
        <v>6159612</v>
      </c>
      <c r="S4" s="297">
        <v>8886141</v>
      </c>
      <c r="T4" s="317">
        <f>SUM(H4:S4)</f>
        <v>78042240</v>
      </c>
      <c r="BD4" s="297">
        <v>14222521</v>
      </c>
      <c r="BE4" s="297">
        <v>14101124</v>
      </c>
      <c r="BF4" s="297">
        <v>9967841</v>
      </c>
      <c r="BG4" s="297">
        <v>7121009</v>
      </c>
      <c r="BH4" s="297">
        <v>6741635</v>
      </c>
      <c r="BI4" s="297">
        <v>7267936</v>
      </c>
      <c r="BJ4" s="297">
        <v>8606942</v>
      </c>
      <c r="BK4" s="297">
        <v>8201517</v>
      </c>
      <c r="BL4" s="297">
        <v>8094330</v>
      </c>
      <c r="BM4" s="297">
        <v>6696230</v>
      </c>
      <c r="BN4" s="297">
        <v>7381728</v>
      </c>
      <c r="BO4" s="297">
        <v>14359125</v>
      </c>
    </row>
    <row r="5" spans="1:73">
      <c r="A5" s="55" t="s">
        <v>42</v>
      </c>
      <c r="B5" s="55">
        <v>50</v>
      </c>
      <c r="C5" t="s">
        <v>890</v>
      </c>
      <c r="D5" s="319">
        <v>13</v>
      </c>
      <c r="E5" t="s">
        <v>891</v>
      </c>
      <c r="F5" s="55" t="s">
        <v>894</v>
      </c>
      <c r="G5" t="s">
        <v>895</v>
      </c>
      <c r="H5" s="297">
        <v>1758737</v>
      </c>
      <c r="I5" s="297">
        <v>1012983</v>
      </c>
      <c r="J5" s="297">
        <v>976426</v>
      </c>
      <c r="K5" s="297">
        <v>799190</v>
      </c>
      <c r="L5" s="297">
        <v>714989</v>
      </c>
      <c r="M5" s="297">
        <v>697660</v>
      </c>
      <c r="N5" s="297">
        <v>936095</v>
      </c>
      <c r="O5" s="297">
        <v>946822</v>
      </c>
      <c r="P5" s="297">
        <v>817531</v>
      </c>
      <c r="Q5" s="297">
        <v>923455</v>
      </c>
      <c r="R5" s="297">
        <v>772311</v>
      </c>
      <c r="S5" s="297">
        <v>2263777</v>
      </c>
      <c r="T5" s="317">
        <f t="shared" ref="T5:T32" si="0">SUM(H5:S5)</f>
        <v>12619976</v>
      </c>
      <c r="BD5" s="297">
        <v>5210940</v>
      </c>
      <c r="BE5" s="297">
        <v>4752044</v>
      </c>
      <c r="BF5" s="297">
        <v>4301447</v>
      </c>
      <c r="BG5" s="297">
        <v>4045552</v>
      </c>
      <c r="BH5" s="297">
        <v>3888354</v>
      </c>
      <c r="BI5" s="297">
        <v>4611160</v>
      </c>
      <c r="BJ5" s="297">
        <v>4871583</v>
      </c>
      <c r="BK5" s="297">
        <v>4886317</v>
      </c>
      <c r="BL5" s="297">
        <v>4831674</v>
      </c>
      <c r="BM5" s="297">
        <v>3822485</v>
      </c>
      <c r="BN5" s="297">
        <v>3956980</v>
      </c>
      <c r="BO5" s="297">
        <v>5112086</v>
      </c>
    </row>
    <row r="6" spans="1:73">
      <c r="A6" s="55" t="s">
        <v>42</v>
      </c>
      <c r="B6" s="55">
        <v>50</v>
      </c>
      <c r="C6" t="s">
        <v>890</v>
      </c>
      <c r="D6" s="319">
        <v>13</v>
      </c>
      <c r="E6" t="s">
        <v>891</v>
      </c>
      <c r="F6" s="55" t="s">
        <v>896</v>
      </c>
      <c r="G6" t="s">
        <v>753</v>
      </c>
      <c r="H6" s="297">
        <v>1537209</v>
      </c>
      <c r="I6" s="297">
        <v>2531340</v>
      </c>
      <c r="J6" s="297">
        <v>1697320</v>
      </c>
      <c r="K6" s="297">
        <v>1493800</v>
      </c>
      <c r="L6" s="297">
        <v>1736570</v>
      </c>
      <c r="M6" s="297">
        <v>1744420</v>
      </c>
      <c r="N6" s="297">
        <v>4212590</v>
      </c>
      <c r="O6" s="297">
        <v>6608058</v>
      </c>
      <c r="P6" s="297">
        <v>615837</v>
      </c>
      <c r="Q6" s="297">
        <v>618058</v>
      </c>
      <c r="R6" s="297">
        <v>501694</v>
      </c>
      <c r="S6" s="297">
        <v>1015132</v>
      </c>
      <c r="T6" s="317">
        <f t="shared" si="0"/>
        <v>24312028</v>
      </c>
      <c r="BD6" s="297">
        <v>3087097</v>
      </c>
      <c r="BE6" s="297">
        <v>3980058</v>
      </c>
      <c r="BF6" s="297">
        <v>3654854</v>
      </c>
      <c r="BG6" s="297">
        <v>3721678</v>
      </c>
      <c r="BH6" s="297">
        <v>4475757</v>
      </c>
      <c r="BI6" s="297">
        <v>4434275</v>
      </c>
      <c r="BJ6" s="297">
        <v>4621682</v>
      </c>
      <c r="BK6" s="297">
        <v>4695236</v>
      </c>
      <c r="BL6" s="297">
        <v>4737297</v>
      </c>
      <c r="BM6" s="297">
        <v>4242656</v>
      </c>
      <c r="BN6" s="297">
        <v>3938875</v>
      </c>
      <c r="BO6" s="297">
        <v>3915162</v>
      </c>
    </row>
    <row r="7" spans="1:73">
      <c r="A7" s="55" t="s">
        <v>42</v>
      </c>
      <c r="B7" s="55">
        <v>50</v>
      </c>
      <c r="C7" t="s">
        <v>890</v>
      </c>
      <c r="D7" s="319">
        <v>13</v>
      </c>
      <c r="E7" t="s">
        <v>891</v>
      </c>
      <c r="F7" s="55" t="s">
        <v>897</v>
      </c>
      <c r="G7" t="s">
        <v>898</v>
      </c>
      <c r="H7" s="323">
        <v>23909164</v>
      </c>
      <c r="I7" s="323">
        <v>47670842</v>
      </c>
      <c r="J7" s="323">
        <v>23431826</v>
      </c>
      <c r="K7" s="323">
        <v>24480469</v>
      </c>
      <c r="L7" s="323">
        <v>49189514</v>
      </c>
      <c r="M7" s="323">
        <v>26268198</v>
      </c>
      <c r="N7" s="323">
        <v>29019838</v>
      </c>
      <c r="O7" s="323">
        <v>143309</v>
      </c>
      <c r="P7" s="323">
        <v>58439731</v>
      </c>
      <c r="Q7" s="323">
        <v>26912737</v>
      </c>
      <c r="R7" s="323">
        <v>26113915</v>
      </c>
      <c r="S7" s="323">
        <v>23414389</v>
      </c>
      <c r="T7" s="324">
        <f t="shared" si="0"/>
        <v>358993932</v>
      </c>
      <c r="BD7" s="297">
        <v>847232</v>
      </c>
      <c r="BE7" s="297">
        <v>856867</v>
      </c>
      <c r="BF7" s="297">
        <v>939526</v>
      </c>
      <c r="BG7" s="297">
        <v>923793</v>
      </c>
      <c r="BH7" s="297">
        <v>849680</v>
      </c>
      <c r="BI7" s="297">
        <v>981666</v>
      </c>
      <c r="BJ7" s="297">
        <v>899926</v>
      </c>
      <c r="BK7" s="297">
        <v>975723</v>
      </c>
      <c r="BL7" s="297">
        <v>1036623</v>
      </c>
      <c r="BM7" s="297">
        <v>794349</v>
      </c>
      <c r="BN7" s="297">
        <v>844462</v>
      </c>
      <c r="BO7" s="297">
        <v>1025786</v>
      </c>
    </row>
    <row r="8" spans="1:73">
      <c r="A8" s="55"/>
      <c r="B8" s="55"/>
      <c r="D8" s="319"/>
      <c r="F8" s="55"/>
      <c r="G8" t="s">
        <v>846</v>
      </c>
      <c r="H8" s="324">
        <v>35239667</v>
      </c>
      <c r="I8" s="324">
        <v>60399965</v>
      </c>
      <c r="J8" s="324">
        <v>32573572</v>
      </c>
      <c r="K8" s="324">
        <v>32296628</v>
      </c>
      <c r="L8" s="324">
        <v>56067162</v>
      </c>
      <c r="M8" s="324">
        <v>33501474</v>
      </c>
      <c r="N8" s="324">
        <v>40366945</v>
      </c>
      <c r="O8" s="324">
        <v>13706811</v>
      </c>
      <c r="P8" s="324">
        <v>66484970</v>
      </c>
      <c r="Q8" s="324">
        <v>34204011</v>
      </c>
      <c r="R8" s="324">
        <v>33547532</v>
      </c>
      <c r="S8" s="324">
        <v>35579439</v>
      </c>
      <c r="T8" s="324">
        <f t="shared" si="0"/>
        <v>473968176</v>
      </c>
      <c r="BD8" s="297">
        <v>23367790</v>
      </c>
      <c r="BE8" s="297">
        <v>23690093</v>
      </c>
      <c r="BF8" s="297">
        <v>18863668</v>
      </c>
      <c r="BG8" s="297">
        <v>15812032</v>
      </c>
      <c r="BH8" s="297">
        <v>15955426</v>
      </c>
      <c r="BI8" s="297">
        <v>17295037</v>
      </c>
      <c r="BJ8" s="297">
        <v>19000133</v>
      </c>
      <c r="BK8" s="297">
        <v>18758793</v>
      </c>
      <c r="BL8" s="297">
        <v>18699924</v>
      </c>
      <c r="BM8" s="297">
        <v>15555720</v>
      </c>
      <c r="BN8" s="297">
        <v>16122045</v>
      </c>
      <c r="BO8" s="297">
        <v>24412159</v>
      </c>
    </row>
    <row r="9" spans="1:73">
      <c r="T9" s="317"/>
    </row>
    <row r="10" spans="1:73">
      <c r="T10" s="317"/>
    </row>
    <row r="11" spans="1:73">
      <c r="A11" s="320" t="s">
        <v>899</v>
      </c>
      <c r="B11" s="320" t="s">
        <v>900</v>
      </c>
      <c r="C11" s="320" t="s">
        <v>901</v>
      </c>
      <c r="D11" s="321" t="s">
        <v>902</v>
      </c>
      <c r="E11" s="320" t="s">
        <v>903</v>
      </c>
      <c r="F11" s="320" t="s">
        <v>904</v>
      </c>
      <c r="G11" s="320" t="s">
        <v>905</v>
      </c>
      <c r="H11" s="322" t="s">
        <v>918</v>
      </c>
      <c r="I11" s="322" t="s">
        <v>919</v>
      </c>
      <c r="J11" s="322" t="s">
        <v>920</v>
      </c>
      <c r="K11" s="322" t="s">
        <v>921</v>
      </c>
      <c r="L11" s="322" t="s">
        <v>922</v>
      </c>
      <c r="M11" s="322" t="s">
        <v>923</v>
      </c>
      <c r="N11" s="322" t="s">
        <v>924</v>
      </c>
      <c r="O11" s="322" t="s">
        <v>925</v>
      </c>
      <c r="P11" s="322" t="s">
        <v>926</v>
      </c>
      <c r="Q11" s="322" t="s">
        <v>927</v>
      </c>
      <c r="R11" s="322" t="s">
        <v>928</v>
      </c>
      <c r="S11" s="322" t="s">
        <v>929</v>
      </c>
      <c r="T11" s="317"/>
    </row>
    <row r="12" spans="1:73">
      <c r="A12" s="55" t="s">
        <v>42</v>
      </c>
      <c r="B12" s="55">
        <v>50</v>
      </c>
      <c r="C12" t="s">
        <v>890</v>
      </c>
      <c r="D12" s="319">
        <v>13</v>
      </c>
      <c r="E12" t="s">
        <v>891</v>
      </c>
      <c r="F12" s="55" t="s">
        <v>892</v>
      </c>
      <c r="G12" t="s">
        <v>893</v>
      </c>
      <c r="H12" s="297">
        <v>7196513</v>
      </c>
      <c r="I12" s="297">
        <v>10824732</v>
      </c>
      <c r="J12" s="297">
        <v>6937359</v>
      </c>
      <c r="K12" s="297">
        <v>6135694</v>
      </c>
      <c r="L12" s="297">
        <v>8079934</v>
      </c>
      <c r="M12" s="297">
        <v>7344852</v>
      </c>
      <c r="N12" s="297">
        <v>7241799</v>
      </c>
      <c r="O12" s="297">
        <v>8181954</v>
      </c>
      <c r="P12" s="297">
        <v>8683575</v>
      </c>
      <c r="Q12" s="297">
        <v>5857825</v>
      </c>
      <c r="R12" s="297">
        <v>6708590</v>
      </c>
      <c r="S12" s="297">
        <v>8395849</v>
      </c>
      <c r="T12" s="317">
        <f t="shared" si="0"/>
        <v>91588676</v>
      </c>
    </row>
    <row r="13" spans="1:73">
      <c r="A13" s="55" t="s">
        <v>42</v>
      </c>
      <c r="B13" s="55">
        <v>50</v>
      </c>
      <c r="C13" t="s">
        <v>890</v>
      </c>
      <c r="D13" s="319">
        <v>13</v>
      </c>
      <c r="E13" t="s">
        <v>891</v>
      </c>
      <c r="F13" s="55" t="s">
        <v>894</v>
      </c>
      <c r="G13" t="s">
        <v>895</v>
      </c>
      <c r="H13" s="297">
        <v>1703522</v>
      </c>
      <c r="I13" s="297">
        <v>1095398</v>
      </c>
      <c r="J13" s="297">
        <v>828660</v>
      </c>
      <c r="K13" s="297">
        <v>706483</v>
      </c>
      <c r="L13" s="297">
        <v>3140241</v>
      </c>
      <c r="M13" s="297">
        <v>1051038</v>
      </c>
      <c r="N13" s="297">
        <v>3952658</v>
      </c>
      <c r="O13" s="297">
        <v>3784713</v>
      </c>
      <c r="P13" s="297">
        <v>1403488</v>
      </c>
      <c r="Q13" s="297">
        <v>901937</v>
      </c>
      <c r="R13" s="297">
        <v>1518138</v>
      </c>
      <c r="S13" s="297">
        <v>2256168</v>
      </c>
      <c r="T13" s="317">
        <f t="shared" si="0"/>
        <v>22342444</v>
      </c>
    </row>
    <row r="14" spans="1:73">
      <c r="A14" s="55" t="s">
        <v>42</v>
      </c>
      <c r="B14" s="55">
        <v>50</v>
      </c>
      <c r="C14" t="s">
        <v>890</v>
      </c>
      <c r="D14" s="319">
        <v>13</v>
      </c>
      <c r="E14" t="s">
        <v>891</v>
      </c>
      <c r="F14" s="55" t="s">
        <v>896</v>
      </c>
      <c r="G14" t="s">
        <v>753</v>
      </c>
      <c r="H14" s="297">
        <v>629221</v>
      </c>
      <c r="I14" s="297">
        <v>547736</v>
      </c>
      <c r="J14" s="297">
        <v>586256</v>
      </c>
      <c r="K14" s="297">
        <v>610057</v>
      </c>
      <c r="L14" s="297">
        <v>1571758</v>
      </c>
      <c r="M14" s="297">
        <v>650537</v>
      </c>
      <c r="N14" s="297">
        <v>1308099</v>
      </c>
      <c r="O14" s="297">
        <v>4941556</v>
      </c>
      <c r="P14" s="297">
        <v>1563497</v>
      </c>
      <c r="Q14" s="297">
        <v>704953</v>
      </c>
      <c r="R14" s="297">
        <v>3808297</v>
      </c>
      <c r="S14" s="297">
        <v>3219896</v>
      </c>
      <c r="T14" s="317">
        <f t="shared" si="0"/>
        <v>20141863</v>
      </c>
    </row>
    <row r="15" spans="1:73">
      <c r="A15" s="55" t="s">
        <v>42</v>
      </c>
      <c r="B15" s="55">
        <v>50</v>
      </c>
      <c r="C15" t="s">
        <v>890</v>
      </c>
      <c r="D15" s="319">
        <v>13</v>
      </c>
      <c r="E15" t="s">
        <v>891</v>
      </c>
      <c r="F15" s="55" t="s">
        <v>897</v>
      </c>
      <c r="G15" t="s">
        <v>898</v>
      </c>
      <c r="H15" s="323">
        <v>22121842</v>
      </c>
      <c r="I15" s="323">
        <v>51829334</v>
      </c>
      <c r="J15" s="323">
        <v>131479</v>
      </c>
      <c r="K15" s="323">
        <v>25120379</v>
      </c>
      <c r="L15" s="323">
        <v>25575376</v>
      </c>
      <c r="M15" s="323">
        <v>26655667</v>
      </c>
      <c r="N15" s="323">
        <v>56752671</v>
      </c>
      <c r="O15" s="297">
        <v>570408</v>
      </c>
      <c r="P15" s="297">
        <v>272113</v>
      </c>
      <c r="Q15" s="297">
        <v>165255</v>
      </c>
      <c r="R15" s="297">
        <v>269626</v>
      </c>
      <c r="S15" s="297">
        <v>499675</v>
      </c>
      <c r="T15" s="324">
        <f t="shared" si="0"/>
        <v>209963825</v>
      </c>
    </row>
    <row r="16" spans="1:73">
      <c r="G16" t="s">
        <v>846</v>
      </c>
      <c r="H16" s="324">
        <v>31651098</v>
      </c>
      <c r="I16" s="324">
        <v>64297200</v>
      </c>
      <c r="J16" s="324">
        <v>8483754</v>
      </c>
      <c r="K16" s="324">
        <v>32572613</v>
      </c>
      <c r="L16" s="324">
        <v>38367309</v>
      </c>
      <c r="M16" s="324">
        <v>35702094</v>
      </c>
      <c r="N16" s="324">
        <v>69255227</v>
      </c>
      <c r="O16" s="317">
        <v>17478631</v>
      </c>
      <c r="P16" s="317">
        <v>11922673</v>
      </c>
      <c r="Q16" s="317">
        <v>7629970</v>
      </c>
      <c r="R16" s="317">
        <v>12304651</v>
      </c>
      <c r="S16" s="317">
        <v>14371588</v>
      </c>
      <c r="T16" s="324">
        <f t="shared" si="0"/>
        <v>344036808</v>
      </c>
    </row>
    <row r="17" spans="1:20">
      <c r="T17" s="317"/>
    </row>
    <row r="18" spans="1:20">
      <c r="T18" s="317"/>
    </row>
    <row r="19" spans="1:20">
      <c r="A19" s="320" t="s">
        <v>899</v>
      </c>
      <c r="B19" s="320" t="s">
        <v>900</v>
      </c>
      <c r="C19" s="320" t="s">
        <v>901</v>
      </c>
      <c r="D19" s="321" t="s">
        <v>902</v>
      </c>
      <c r="E19" s="320" t="s">
        <v>903</v>
      </c>
      <c r="F19" s="320" t="s">
        <v>904</v>
      </c>
      <c r="G19" s="320" t="s">
        <v>905</v>
      </c>
      <c r="H19" s="322" t="s">
        <v>930</v>
      </c>
      <c r="I19" s="322" t="s">
        <v>931</v>
      </c>
      <c r="J19" s="322" t="s">
        <v>932</v>
      </c>
      <c r="K19" s="322" t="s">
        <v>933</v>
      </c>
      <c r="L19" s="322" t="s">
        <v>934</v>
      </c>
      <c r="M19" s="322" t="s">
        <v>935</v>
      </c>
      <c r="N19" s="322" t="s">
        <v>936</v>
      </c>
      <c r="O19" s="322" t="s">
        <v>937</v>
      </c>
      <c r="P19" s="322" t="s">
        <v>938</v>
      </c>
      <c r="Q19" s="322" t="s">
        <v>939</v>
      </c>
      <c r="R19" s="322" t="s">
        <v>940</v>
      </c>
      <c r="S19" s="322" t="s">
        <v>941</v>
      </c>
      <c r="T19" s="317"/>
    </row>
    <row r="20" spans="1:20">
      <c r="A20" s="55" t="s">
        <v>42</v>
      </c>
      <c r="B20" s="55">
        <v>50</v>
      </c>
      <c r="C20" t="s">
        <v>890</v>
      </c>
      <c r="D20" s="319">
        <v>13</v>
      </c>
      <c r="E20" t="s">
        <v>891</v>
      </c>
      <c r="F20" s="55" t="s">
        <v>892</v>
      </c>
      <c r="G20" t="s">
        <v>893</v>
      </c>
      <c r="H20" s="297">
        <v>10054406</v>
      </c>
      <c r="I20" s="297">
        <v>11290718</v>
      </c>
      <c r="J20" s="297">
        <v>10280011</v>
      </c>
      <c r="K20" s="297">
        <v>7745255</v>
      </c>
      <c r="L20" s="297">
        <v>6273612</v>
      </c>
      <c r="M20" s="297">
        <v>7097567</v>
      </c>
      <c r="N20" s="297">
        <v>7086880</v>
      </c>
      <c r="O20" s="297">
        <v>6986964</v>
      </c>
      <c r="P20" s="297">
        <v>8605584</v>
      </c>
      <c r="Q20" s="297">
        <v>6472306</v>
      </c>
      <c r="R20" s="297">
        <v>8382569</v>
      </c>
      <c r="S20" s="297">
        <v>12700501</v>
      </c>
      <c r="T20" s="317">
        <f t="shared" si="0"/>
        <v>102976373</v>
      </c>
    </row>
    <row r="21" spans="1:20">
      <c r="A21" s="55" t="s">
        <v>42</v>
      </c>
      <c r="B21" s="55">
        <v>50</v>
      </c>
      <c r="C21" t="s">
        <v>890</v>
      </c>
      <c r="D21" s="319">
        <v>13</v>
      </c>
      <c r="E21" t="s">
        <v>891</v>
      </c>
      <c r="F21" s="55" t="s">
        <v>894</v>
      </c>
      <c r="G21" t="s">
        <v>895</v>
      </c>
      <c r="H21" s="297">
        <v>2757638</v>
      </c>
      <c r="I21" s="297">
        <v>3752647</v>
      </c>
      <c r="J21" s="297">
        <v>3907958</v>
      </c>
      <c r="K21" s="297">
        <v>3631211</v>
      </c>
      <c r="L21" s="297">
        <v>3410476</v>
      </c>
      <c r="M21" s="297">
        <v>4359446</v>
      </c>
      <c r="N21" s="297">
        <v>4129978</v>
      </c>
      <c r="O21" s="297">
        <v>4226829</v>
      </c>
      <c r="P21" s="297">
        <v>4702274</v>
      </c>
      <c r="Q21" s="297">
        <v>3499372</v>
      </c>
      <c r="R21" s="297">
        <v>3638637</v>
      </c>
      <c r="S21" s="297">
        <v>4568275</v>
      </c>
      <c r="T21" s="317">
        <f t="shared" si="0"/>
        <v>46584741</v>
      </c>
    </row>
    <row r="22" spans="1:20">
      <c r="A22" s="55" t="s">
        <v>42</v>
      </c>
      <c r="B22" s="55">
        <v>50</v>
      </c>
      <c r="C22" t="s">
        <v>890</v>
      </c>
      <c r="D22" s="319">
        <v>13</v>
      </c>
      <c r="E22" t="s">
        <v>891</v>
      </c>
      <c r="F22" s="55" t="s">
        <v>896</v>
      </c>
      <c r="G22" t="s">
        <v>753</v>
      </c>
      <c r="H22" s="297">
        <v>3289426</v>
      </c>
      <c r="I22" s="297">
        <v>1716123</v>
      </c>
      <c r="J22" s="297">
        <v>3562656</v>
      </c>
      <c r="K22" s="297">
        <v>4125718</v>
      </c>
      <c r="L22" s="297">
        <v>4044156</v>
      </c>
      <c r="M22" s="297">
        <v>4725803</v>
      </c>
      <c r="N22" s="297">
        <v>4298136</v>
      </c>
      <c r="O22" s="297">
        <v>4620977</v>
      </c>
      <c r="P22" s="297">
        <v>3787416</v>
      </c>
      <c r="Q22" s="297">
        <v>3455422</v>
      </c>
      <c r="R22" s="297">
        <v>3631118</v>
      </c>
      <c r="S22" s="297">
        <v>2905782</v>
      </c>
      <c r="T22" s="317">
        <f t="shared" si="0"/>
        <v>44162733</v>
      </c>
    </row>
    <row r="23" spans="1:20">
      <c r="A23" s="55" t="s">
        <v>42</v>
      </c>
      <c r="B23" s="55">
        <v>50</v>
      </c>
      <c r="C23" t="s">
        <v>890</v>
      </c>
      <c r="D23" s="319">
        <v>13</v>
      </c>
      <c r="E23" t="s">
        <v>891</v>
      </c>
      <c r="F23" s="55" t="s">
        <v>897</v>
      </c>
      <c r="G23" t="s">
        <v>898</v>
      </c>
      <c r="H23" s="297">
        <v>568864</v>
      </c>
      <c r="I23" s="297">
        <v>854824</v>
      </c>
      <c r="J23" s="297">
        <v>909292</v>
      </c>
      <c r="K23" s="297">
        <v>869316</v>
      </c>
      <c r="L23" s="297">
        <v>780478</v>
      </c>
      <c r="M23" s="297">
        <v>890205</v>
      </c>
      <c r="N23" s="297">
        <v>854336</v>
      </c>
      <c r="O23" s="297">
        <v>871860</v>
      </c>
      <c r="P23" s="297">
        <v>948347</v>
      </c>
      <c r="Q23" s="297">
        <v>840142</v>
      </c>
      <c r="R23" s="297">
        <v>854160</v>
      </c>
      <c r="S23" s="297">
        <v>974055</v>
      </c>
      <c r="T23" s="317">
        <f t="shared" si="0"/>
        <v>10215879</v>
      </c>
    </row>
    <row r="24" spans="1:20">
      <c r="G24" t="s">
        <v>846</v>
      </c>
      <c r="H24" s="317">
        <v>16670334</v>
      </c>
      <c r="I24" s="317">
        <v>17614312</v>
      </c>
      <c r="J24" s="317">
        <v>18659917</v>
      </c>
      <c r="K24" s="317">
        <v>16371500</v>
      </c>
      <c r="L24" s="317">
        <v>14508722</v>
      </c>
      <c r="M24" s="317">
        <v>17073021</v>
      </c>
      <c r="N24" s="317">
        <v>16369330</v>
      </c>
      <c r="O24" s="317">
        <v>16706630</v>
      </c>
      <c r="P24" s="317">
        <v>18043621</v>
      </c>
      <c r="Q24" s="317">
        <v>14267242</v>
      </c>
      <c r="R24" s="317">
        <v>16506484</v>
      </c>
      <c r="S24" s="317">
        <v>21148613</v>
      </c>
      <c r="T24" s="317">
        <f t="shared" si="0"/>
        <v>203939726</v>
      </c>
    </row>
    <row r="25" spans="1:20">
      <c r="T25" s="317"/>
    </row>
    <row r="26" spans="1:20">
      <c r="T26" s="317"/>
    </row>
    <row r="27" spans="1:20">
      <c r="A27" s="320" t="s">
        <v>899</v>
      </c>
      <c r="B27" s="320" t="s">
        <v>900</v>
      </c>
      <c r="C27" s="320" t="s">
        <v>901</v>
      </c>
      <c r="D27" s="321" t="s">
        <v>902</v>
      </c>
      <c r="E27" s="320" t="s">
        <v>903</v>
      </c>
      <c r="F27" s="320" t="s">
        <v>904</v>
      </c>
      <c r="G27" s="320" t="s">
        <v>905</v>
      </c>
      <c r="H27" s="322" t="s">
        <v>942</v>
      </c>
      <c r="I27" s="322" t="s">
        <v>943</v>
      </c>
      <c r="J27" s="322" t="s">
        <v>944</v>
      </c>
      <c r="K27" s="322" t="s">
        <v>945</v>
      </c>
      <c r="L27" s="322" t="s">
        <v>946</v>
      </c>
      <c r="M27" s="322" t="s">
        <v>947</v>
      </c>
      <c r="N27" s="322" t="s">
        <v>948</v>
      </c>
      <c r="O27" s="322" t="s">
        <v>949</v>
      </c>
      <c r="P27" s="322" t="s">
        <v>950</v>
      </c>
      <c r="Q27" s="322" t="s">
        <v>951</v>
      </c>
      <c r="R27" s="322" t="s">
        <v>952</v>
      </c>
      <c r="S27" s="322" t="s">
        <v>953</v>
      </c>
      <c r="T27" s="317"/>
    </row>
    <row r="28" spans="1:20">
      <c r="A28" s="55" t="s">
        <v>42</v>
      </c>
      <c r="B28" s="55">
        <v>50</v>
      </c>
      <c r="C28" t="s">
        <v>890</v>
      </c>
      <c r="D28" s="319">
        <v>13</v>
      </c>
      <c r="E28" t="s">
        <v>891</v>
      </c>
      <c r="F28" s="55" t="s">
        <v>892</v>
      </c>
      <c r="G28" t="s">
        <v>893</v>
      </c>
      <c r="H28" s="297">
        <v>12547652</v>
      </c>
      <c r="I28" s="297">
        <v>12520041</v>
      </c>
      <c r="J28" s="297">
        <v>9830423</v>
      </c>
      <c r="K28" s="297">
        <v>8126645</v>
      </c>
      <c r="L28" s="297">
        <v>6401721</v>
      </c>
      <c r="M28" s="297">
        <v>6738313</v>
      </c>
      <c r="N28" s="297">
        <v>6606426</v>
      </c>
      <c r="O28" s="297">
        <v>7194324</v>
      </c>
      <c r="P28" s="297">
        <v>8040758</v>
      </c>
      <c r="Q28" s="297">
        <v>6776054</v>
      </c>
      <c r="R28" s="297">
        <v>7297949</v>
      </c>
      <c r="S28" s="297">
        <v>11720707</v>
      </c>
      <c r="T28" s="317">
        <f t="shared" si="0"/>
        <v>103801013</v>
      </c>
    </row>
    <row r="29" spans="1:20">
      <c r="A29" s="55" t="s">
        <v>42</v>
      </c>
      <c r="B29" s="55">
        <v>50</v>
      </c>
      <c r="C29" t="s">
        <v>890</v>
      </c>
      <c r="D29" s="319">
        <v>13</v>
      </c>
      <c r="E29" t="s">
        <v>891</v>
      </c>
      <c r="F29" s="55" t="s">
        <v>894</v>
      </c>
      <c r="G29" t="s">
        <v>895</v>
      </c>
      <c r="H29" s="297">
        <v>4631135</v>
      </c>
      <c r="I29" s="297">
        <v>4480650</v>
      </c>
      <c r="J29" s="297">
        <v>4050560</v>
      </c>
      <c r="K29" s="297">
        <v>3957990</v>
      </c>
      <c r="L29" s="297">
        <v>3698547</v>
      </c>
      <c r="M29" s="297">
        <v>4455824</v>
      </c>
      <c r="N29" s="297">
        <v>4233009</v>
      </c>
      <c r="O29" s="297">
        <v>4457860</v>
      </c>
      <c r="P29" s="297">
        <v>4518853</v>
      </c>
      <c r="Q29" s="297">
        <v>3821552</v>
      </c>
      <c r="R29" s="297">
        <v>3912688</v>
      </c>
      <c r="S29" s="297">
        <v>4772926</v>
      </c>
      <c r="T29" s="317">
        <f t="shared" si="0"/>
        <v>50991594</v>
      </c>
    </row>
    <row r="30" spans="1:20">
      <c r="A30" s="55" t="s">
        <v>42</v>
      </c>
      <c r="B30" s="55">
        <v>50</v>
      </c>
      <c r="C30" t="s">
        <v>890</v>
      </c>
      <c r="D30" s="319">
        <v>13</v>
      </c>
      <c r="E30" t="s">
        <v>891</v>
      </c>
      <c r="F30" s="55" t="s">
        <v>896</v>
      </c>
      <c r="G30" t="s">
        <v>753</v>
      </c>
      <c r="H30" s="297">
        <v>2259360</v>
      </c>
      <c r="I30" s="297">
        <v>3125177</v>
      </c>
      <c r="J30" s="297">
        <v>2607316</v>
      </c>
      <c r="K30" s="297">
        <v>2908161</v>
      </c>
      <c r="L30" s="297">
        <v>2496796</v>
      </c>
      <c r="M30" s="297">
        <v>3090379</v>
      </c>
      <c r="N30" s="297">
        <v>2737358</v>
      </c>
      <c r="O30" s="297">
        <v>3073995</v>
      </c>
      <c r="P30" s="297">
        <v>3681881</v>
      </c>
      <c r="Q30" s="297">
        <v>3176335</v>
      </c>
      <c r="R30" s="297">
        <v>3491216</v>
      </c>
      <c r="S30" s="297">
        <v>3017216</v>
      </c>
      <c r="T30" s="317">
        <f t="shared" si="0"/>
        <v>35665190</v>
      </c>
    </row>
    <row r="31" spans="1:20">
      <c r="A31" s="55" t="s">
        <v>42</v>
      </c>
      <c r="B31" s="55">
        <v>50</v>
      </c>
      <c r="C31" t="s">
        <v>890</v>
      </c>
      <c r="D31" s="319">
        <v>13</v>
      </c>
      <c r="E31" t="s">
        <v>891</v>
      </c>
      <c r="F31" s="55" t="s">
        <v>897</v>
      </c>
      <c r="G31" t="s">
        <v>898</v>
      </c>
      <c r="H31" s="297">
        <v>928943</v>
      </c>
      <c r="I31" s="297">
        <v>965816</v>
      </c>
      <c r="J31" s="297">
        <v>852723</v>
      </c>
      <c r="K31" s="297">
        <v>823932</v>
      </c>
      <c r="L31" s="297">
        <v>866047</v>
      </c>
      <c r="M31" s="297">
        <v>901502</v>
      </c>
      <c r="N31" s="297">
        <v>801529</v>
      </c>
      <c r="O31" s="297">
        <v>884426</v>
      </c>
      <c r="P31" s="297">
        <v>953336</v>
      </c>
      <c r="Q31" s="297">
        <v>806442</v>
      </c>
      <c r="R31" s="297">
        <v>782264</v>
      </c>
      <c r="S31" s="297">
        <v>1006033</v>
      </c>
      <c r="T31" s="317">
        <f t="shared" si="0"/>
        <v>10572993</v>
      </c>
    </row>
    <row r="32" spans="1:20">
      <c r="G32" t="s">
        <v>846</v>
      </c>
      <c r="H32" s="297">
        <v>20367090</v>
      </c>
      <c r="I32" s="297">
        <v>21091684</v>
      </c>
      <c r="J32" s="297">
        <v>17341022</v>
      </c>
      <c r="K32" s="297">
        <v>15816728</v>
      </c>
      <c r="L32" s="297">
        <v>13463111</v>
      </c>
      <c r="M32" s="297">
        <v>15186018</v>
      </c>
      <c r="N32" s="297">
        <v>14378322</v>
      </c>
      <c r="O32" s="297">
        <v>15610605</v>
      </c>
      <c r="P32" s="297">
        <v>17194828</v>
      </c>
      <c r="Q32" s="297">
        <v>14580383</v>
      </c>
      <c r="R32" s="297">
        <v>15484117</v>
      </c>
      <c r="S32" s="297">
        <v>20516882</v>
      </c>
      <c r="T32" s="317">
        <f t="shared" si="0"/>
        <v>201030790</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dimension ref="A1:I10"/>
  <sheetViews>
    <sheetView workbookViewId="0">
      <selection activeCell="E1" sqref="E1"/>
    </sheetView>
  </sheetViews>
  <sheetFormatPr defaultRowHeight="15"/>
  <cols>
    <col min="1" max="1" width="14" bestFit="1" customWidth="1"/>
    <col min="2" max="6" width="14.140625" bestFit="1" customWidth="1"/>
  </cols>
  <sheetData>
    <row r="1" spans="1:9">
      <c r="A1" s="882" t="s">
        <v>2261</v>
      </c>
      <c r="B1" s="901"/>
      <c r="C1" s="73"/>
      <c r="D1" s="883"/>
      <c r="E1" s="707"/>
      <c r="F1" s="12"/>
      <c r="G1" s="12"/>
    </row>
    <row r="2" spans="1:9" ht="15.75" thickBot="1"/>
    <row r="3" spans="1:9" ht="15.75" thickBot="1">
      <c r="A3" s="80" t="s">
        <v>712</v>
      </c>
      <c r="B3" s="81">
        <v>2005</v>
      </c>
      <c r="C3" s="81">
        <v>2006</v>
      </c>
      <c r="D3" s="81">
        <v>2007</v>
      </c>
      <c r="E3" s="81">
        <v>2008</v>
      </c>
      <c r="F3" s="81">
        <v>2009</v>
      </c>
      <c r="G3" s="81">
        <v>2010</v>
      </c>
      <c r="H3" s="81">
        <v>2011</v>
      </c>
      <c r="I3" s="81">
        <v>2012</v>
      </c>
    </row>
    <row r="4" spans="1:9" ht="16.5" thickTop="1" thickBot="1">
      <c r="A4" s="82" t="s">
        <v>713</v>
      </c>
      <c r="B4" s="83">
        <v>1668</v>
      </c>
      <c r="C4" s="84">
        <v>1689</v>
      </c>
      <c r="D4" s="85">
        <v>1697</v>
      </c>
      <c r="E4" s="86">
        <v>1733</v>
      </c>
      <c r="F4" s="86">
        <v>1825</v>
      </c>
      <c r="G4" s="86">
        <v>1688</v>
      </c>
      <c r="H4" s="86">
        <v>1659</v>
      </c>
      <c r="I4" s="86">
        <v>1592</v>
      </c>
    </row>
    <row r="5" spans="1:9" ht="15.75" thickBot="1">
      <c r="A5" s="82" t="s">
        <v>714</v>
      </c>
      <c r="B5" s="87"/>
      <c r="C5" s="88">
        <v>10.8</v>
      </c>
      <c r="D5" s="88">
        <v>9</v>
      </c>
      <c r="E5" s="89">
        <v>7.7</v>
      </c>
      <c r="F5" s="89">
        <v>6.5</v>
      </c>
      <c r="G5" s="89">
        <v>5.4</v>
      </c>
      <c r="H5" s="89">
        <v>5.3</v>
      </c>
      <c r="I5" s="89">
        <v>3.8</v>
      </c>
    </row>
    <row r="6" spans="1:9" ht="15.75" thickBot="1">
      <c r="A6" s="82" t="s">
        <v>715</v>
      </c>
      <c r="B6" s="90"/>
      <c r="C6" s="88">
        <v>3.1</v>
      </c>
      <c r="D6" s="88">
        <v>3</v>
      </c>
      <c r="E6" s="88">
        <v>2.7</v>
      </c>
      <c r="F6" s="88">
        <v>1.3</v>
      </c>
      <c r="G6" s="88">
        <v>1.2</v>
      </c>
      <c r="H6" s="88">
        <v>1.2</v>
      </c>
      <c r="I6" s="88">
        <v>1.1000000000000001</v>
      </c>
    </row>
    <row r="10" spans="1:9">
      <c r="A10" t="s">
        <v>716</v>
      </c>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dimension ref="A1:N23"/>
  <sheetViews>
    <sheetView workbookViewId="0">
      <selection activeCell="E2" sqref="E2"/>
    </sheetView>
  </sheetViews>
  <sheetFormatPr defaultRowHeight="15"/>
  <cols>
    <col min="2" max="2" width="19.85546875" customWidth="1"/>
    <col min="3" max="7" width="12.5703125" bestFit="1" customWidth="1"/>
    <col min="9" max="9" width="11.28515625" customWidth="1"/>
    <col min="10" max="13" width="11.28515625" bestFit="1" customWidth="1"/>
  </cols>
  <sheetData>
    <row r="1" spans="1:14" s="697" customFormat="1">
      <c r="A1" s="906" t="s">
        <v>2262</v>
      </c>
      <c r="B1" s="907"/>
      <c r="C1" s="907"/>
      <c r="D1" s="908"/>
      <c r="E1" s="12"/>
      <c r="F1" s="12"/>
      <c r="G1" s="12"/>
    </row>
    <row r="3" spans="1:14" ht="15.75" thickBot="1"/>
    <row r="4" spans="1:14" ht="15.75" thickBot="1">
      <c r="B4" s="1172" t="s">
        <v>698</v>
      </c>
      <c r="C4" s="1173"/>
      <c r="D4" s="1173"/>
      <c r="E4" s="1173"/>
      <c r="F4" s="1173"/>
      <c r="G4" s="1174"/>
      <c r="I4" s="1175" t="s">
        <v>2095</v>
      </c>
      <c r="J4" s="1176"/>
      <c r="K4" s="1176"/>
      <c r="L4" s="1176"/>
      <c r="M4" s="1177"/>
    </row>
    <row r="5" spans="1:14" ht="15.75" thickBot="1">
      <c r="B5" s="667"/>
      <c r="C5" s="674">
        <v>2008</v>
      </c>
      <c r="D5" s="674">
        <v>2009</v>
      </c>
      <c r="E5" s="674">
        <v>2010</v>
      </c>
      <c r="F5" s="674">
        <v>2011</v>
      </c>
      <c r="G5" s="675">
        <v>2012</v>
      </c>
      <c r="I5" s="691">
        <v>2008</v>
      </c>
      <c r="J5" s="690">
        <v>2009</v>
      </c>
      <c r="K5" s="690">
        <v>2010</v>
      </c>
      <c r="L5" s="690">
        <v>2011</v>
      </c>
      <c r="M5" s="692">
        <v>2012</v>
      </c>
    </row>
    <row r="6" spans="1:14" ht="15.75" thickBot="1">
      <c r="B6" s="666" t="s">
        <v>2088</v>
      </c>
      <c r="C6" s="676">
        <v>1652425</v>
      </c>
      <c r="D6" s="676">
        <v>1619577</v>
      </c>
      <c r="E6" s="676">
        <v>1603438</v>
      </c>
      <c r="F6" s="676">
        <v>1624284</v>
      </c>
      <c r="G6" s="677">
        <v>1632169</v>
      </c>
      <c r="I6" s="693">
        <v>16582.400000000001</v>
      </c>
      <c r="J6" s="694">
        <v>13419.5</v>
      </c>
      <c r="K6" s="694">
        <v>15476.5</v>
      </c>
      <c r="L6" s="694">
        <v>13302.6</v>
      </c>
      <c r="M6" s="695">
        <v>12878.3</v>
      </c>
      <c r="N6" t="s">
        <v>2096</v>
      </c>
    </row>
    <row r="7" spans="1:14">
      <c r="B7" s="663" t="s">
        <v>2089</v>
      </c>
      <c r="C7" s="678">
        <v>0</v>
      </c>
      <c r="D7" s="678"/>
      <c r="E7" s="678"/>
      <c r="F7" s="678">
        <v>156</v>
      </c>
      <c r="G7" s="679">
        <v>1732</v>
      </c>
    </row>
    <row r="8" spans="1:14">
      <c r="B8" s="663" t="s">
        <v>2090</v>
      </c>
      <c r="C8" s="678">
        <v>466193</v>
      </c>
      <c r="D8" s="678">
        <v>703754</v>
      </c>
      <c r="E8" s="678">
        <v>760243</v>
      </c>
      <c r="F8" s="678">
        <v>764014</v>
      </c>
      <c r="G8" s="679">
        <v>748926</v>
      </c>
      <c r="I8" s="231">
        <v>50993.538672699993</v>
      </c>
      <c r="J8" s="231">
        <v>46469.562052499998</v>
      </c>
      <c r="K8" s="231">
        <v>48079.472865600001</v>
      </c>
      <c r="L8" s="231">
        <v>50448.099239999996</v>
      </c>
      <c r="M8" s="231">
        <v>42084.583200000001</v>
      </c>
    </row>
    <row r="9" spans="1:14">
      <c r="B9" s="663" t="s">
        <v>2091</v>
      </c>
      <c r="C9" s="678">
        <v>18126</v>
      </c>
      <c r="D9" s="678">
        <v>20181</v>
      </c>
      <c r="E9" s="678">
        <v>19475</v>
      </c>
      <c r="F9" s="678">
        <v>20279</v>
      </c>
      <c r="G9" s="679">
        <v>20213</v>
      </c>
      <c r="I9" s="231">
        <f>I8/1.028</f>
        <v>49604.609603793768</v>
      </c>
      <c r="J9" s="231">
        <f t="shared" ref="J9:M9" si="0">J8/1.028</f>
        <v>45203.854136673152</v>
      </c>
      <c r="K9" s="231">
        <f t="shared" si="0"/>
        <v>46769.915238910507</v>
      </c>
      <c r="L9" s="231">
        <f t="shared" si="0"/>
        <v>49074.026498054467</v>
      </c>
      <c r="M9" s="231">
        <f t="shared" si="0"/>
        <v>40938.310505836576</v>
      </c>
    </row>
    <row r="10" spans="1:14">
      <c r="B10" s="663" t="s">
        <v>2092</v>
      </c>
      <c r="C10" s="678">
        <v>13166</v>
      </c>
      <c r="D10" s="678">
        <v>13251</v>
      </c>
      <c r="E10" s="678">
        <v>13049</v>
      </c>
      <c r="F10" s="678">
        <v>13897</v>
      </c>
      <c r="G10" s="679">
        <v>16610</v>
      </c>
      <c r="I10" s="226">
        <f>I9-I6</f>
        <v>33022.209603793766</v>
      </c>
      <c r="J10" s="226">
        <f t="shared" ref="J10:M10" si="1">J9-J6</f>
        <v>31784.354136673152</v>
      </c>
      <c r="K10" s="226">
        <f t="shared" si="1"/>
        <v>31293.415238910507</v>
      </c>
      <c r="L10" s="226">
        <f t="shared" si="1"/>
        <v>35771.426498054469</v>
      </c>
      <c r="M10" s="226">
        <f t="shared" si="1"/>
        <v>28060.010505836577</v>
      </c>
    </row>
    <row r="11" spans="1:14">
      <c r="B11" s="663" t="s">
        <v>2093</v>
      </c>
      <c r="C11" s="678">
        <v>53899</v>
      </c>
      <c r="D11" s="678">
        <v>45404</v>
      </c>
      <c r="E11" s="678">
        <v>0</v>
      </c>
      <c r="F11" s="678">
        <v>43811</v>
      </c>
      <c r="G11" s="679">
        <v>41606</v>
      </c>
    </row>
    <row r="12" spans="1:14" ht="15.75" thickBot="1">
      <c r="B12" s="668" t="s">
        <v>604</v>
      </c>
      <c r="C12" s="680">
        <v>12619</v>
      </c>
      <c r="D12" s="680">
        <v>12292</v>
      </c>
      <c r="E12" s="680">
        <v>12710</v>
      </c>
      <c r="F12" s="680">
        <v>11745</v>
      </c>
      <c r="G12" s="681">
        <v>12852</v>
      </c>
    </row>
    <row r="13" spans="1:14" ht="15.75" thickBot="1">
      <c r="B13" s="669" t="s">
        <v>846</v>
      </c>
      <c r="C13" s="682">
        <v>2216428</v>
      </c>
      <c r="D13" s="682">
        <v>2414459</v>
      </c>
      <c r="E13" s="682">
        <v>2408915</v>
      </c>
      <c r="F13" s="682">
        <v>2478186</v>
      </c>
      <c r="G13" s="683">
        <v>2474108</v>
      </c>
      <c r="H13" t="s">
        <v>2094</v>
      </c>
    </row>
    <row r="14" spans="1:14" ht="15.75" thickBot="1">
      <c r="B14" s="1172" t="s">
        <v>717</v>
      </c>
      <c r="C14" s="1173"/>
      <c r="D14" s="1173"/>
      <c r="E14" s="1173"/>
      <c r="F14" s="1173"/>
      <c r="G14" s="1174"/>
    </row>
    <row r="15" spans="1:14">
      <c r="B15" s="664" t="s">
        <v>2088</v>
      </c>
      <c r="C15" s="684">
        <v>2104831</v>
      </c>
      <c r="D15" s="684">
        <v>2171516</v>
      </c>
      <c r="E15" s="684">
        <v>2347232</v>
      </c>
      <c r="F15" s="684">
        <v>2301564</v>
      </c>
      <c r="G15" s="685">
        <v>2300854</v>
      </c>
    </row>
    <row r="16" spans="1:14">
      <c r="B16" s="663" t="s">
        <v>2090</v>
      </c>
      <c r="C16" s="678">
        <v>36311</v>
      </c>
      <c r="D16" s="678">
        <v>29541</v>
      </c>
      <c r="E16" s="678">
        <v>35112</v>
      </c>
      <c r="F16" s="678">
        <v>39523</v>
      </c>
      <c r="G16" s="679">
        <v>31737</v>
      </c>
    </row>
    <row r="17" spans="2:8">
      <c r="B17" s="663" t="s">
        <v>2091</v>
      </c>
      <c r="C17" s="678">
        <v>576973</v>
      </c>
      <c r="D17" s="678">
        <v>558417</v>
      </c>
      <c r="E17" s="678">
        <v>569707</v>
      </c>
      <c r="F17" s="678">
        <v>584850</v>
      </c>
      <c r="G17" s="679">
        <v>614309</v>
      </c>
    </row>
    <row r="18" spans="2:8">
      <c r="B18" s="663" t="s">
        <v>2092</v>
      </c>
      <c r="C18" s="678">
        <v>50228</v>
      </c>
      <c r="D18" s="678">
        <v>49737</v>
      </c>
      <c r="E18" s="678">
        <v>40238</v>
      </c>
      <c r="F18" s="678">
        <v>42852</v>
      </c>
      <c r="G18" s="679">
        <v>59651</v>
      </c>
    </row>
    <row r="19" spans="2:8">
      <c r="B19" s="663" t="s">
        <v>2093</v>
      </c>
      <c r="C19" s="678">
        <v>313967</v>
      </c>
      <c r="D19" s="678">
        <v>219611</v>
      </c>
      <c r="E19" s="678">
        <v>245986</v>
      </c>
      <c r="F19" s="678">
        <v>221988</v>
      </c>
      <c r="G19" s="679">
        <v>194102</v>
      </c>
    </row>
    <row r="20" spans="2:8" ht="15.75" thickBot="1">
      <c r="B20" s="665" t="s">
        <v>604</v>
      </c>
      <c r="C20" s="686">
        <v>74937</v>
      </c>
      <c r="D20" s="686">
        <v>74494</v>
      </c>
      <c r="E20" s="686">
        <v>67154</v>
      </c>
      <c r="F20" s="686">
        <v>61034</v>
      </c>
      <c r="G20" s="687">
        <v>61076</v>
      </c>
    </row>
    <row r="21" spans="2:8" ht="15.75" thickBot="1">
      <c r="B21" s="670" t="s">
        <v>846</v>
      </c>
      <c r="C21" s="688">
        <v>3157247</v>
      </c>
      <c r="D21" s="688">
        <v>3103316</v>
      </c>
      <c r="E21" s="688">
        <v>3305429</v>
      </c>
      <c r="F21" s="688">
        <v>3251811</v>
      </c>
      <c r="G21" s="689">
        <v>3261729</v>
      </c>
      <c r="H21" t="s">
        <v>2094</v>
      </c>
    </row>
    <row r="22" spans="2:8" ht="15.75" thickBot="1">
      <c r="B22" s="673"/>
      <c r="C22" s="673"/>
      <c r="D22" s="673"/>
      <c r="E22" s="673"/>
      <c r="F22" s="673"/>
      <c r="G22" s="673"/>
    </row>
    <row r="23" spans="2:8" ht="15.75" thickBot="1">
      <c r="B23" s="670" t="s">
        <v>846</v>
      </c>
      <c r="C23" s="671">
        <v>5373675</v>
      </c>
      <c r="D23" s="671">
        <v>5517775</v>
      </c>
      <c r="E23" s="671">
        <v>5714344</v>
      </c>
      <c r="F23" s="671">
        <v>5729997</v>
      </c>
      <c r="G23" s="672">
        <v>5735837</v>
      </c>
      <c r="H23" t="s">
        <v>2094</v>
      </c>
    </row>
  </sheetData>
  <mergeCells count="3">
    <mergeCell ref="B4:G4"/>
    <mergeCell ref="B14:G14"/>
    <mergeCell ref="I4:M4"/>
  </mergeCells>
  <pageMargins left="0.7" right="0.7" top="0.75" bottom="0.75" header="0.3" footer="0.3"/>
</worksheet>
</file>

<file path=xl/worksheets/sheet36.xml><?xml version="1.0" encoding="utf-8"?>
<worksheet xmlns="http://schemas.openxmlformats.org/spreadsheetml/2006/main" xmlns:r="http://schemas.openxmlformats.org/officeDocument/2006/relationships">
  <dimension ref="A1:BT87"/>
  <sheetViews>
    <sheetView topLeftCell="AM14" zoomScale="60" zoomScaleNormal="60" workbookViewId="0">
      <selection activeCell="BQ40" activeCellId="11" sqref="C40 I40 O40 U40 AA40 AG40 AM40 AS40 AY40 BE40 BK40 BQ40"/>
    </sheetView>
  </sheetViews>
  <sheetFormatPr defaultRowHeight="15"/>
  <cols>
    <col min="1" max="1" width="15.42578125" bestFit="1" customWidth="1"/>
    <col min="2" max="2" width="23.28515625" bestFit="1" customWidth="1"/>
    <col min="3" max="3" width="13.5703125" customWidth="1"/>
    <col min="4" max="6" width="14.140625" bestFit="1" customWidth="1"/>
    <col min="9" max="9" width="14.85546875" customWidth="1"/>
    <col min="11" max="11" width="10.85546875" bestFit="1" customWidth="1"/>
    <col min="15" max="15" width="11.140625" bestFit="1" customWidth="1"/>
    <col min="17" max="17" width="10.140625" bestFit="1" customWidth="1"/>
    <col min="23" max="23" width="9.85546875" bestFit="1" customWidth="1"/>
    <col min="29" max="29" width="10.140625" bestFit="1" customWidth="1"/>
    <col min="35" max="35" width="10.140625" bestFit="1" customWidth="1"/>
    <col min="41" max="41" width="9.85546875" bestFit="1" customWidth="1"/>
    <col min="47" max="47" width="9.85546875" bestFit="1" customWidth="1"/>
    <col min="53" max="53" width="9.85546875" bestFit="1" customWidth="1"/>
    <col min="59" max="59" width="9.85546875" bestFit="1" customWidth="1"/>
    <col min="65" max="65" width="9.85546875" bestFit="1" customWidth="1"/>
    <col min="71" max="71" width="9.85546875" bestFit="1" customWidth="1"/>
  </cols>
  <sheetData>
    <row r="1" spans="1:72">
      <c r="A1" s="900" t="s">
        <v>2263</v>
      </c>
      <c r="B1" s="901"/>
      <c r="C1" s="902"/>
      <c r="D1" s="12"/>
      <c r="E1" s="12"/>
      <c r="F1" s="12"/>
      <c r="G1" s="12"/>
    </row>
    <row r="3" spans="1:72" s="1" customFormat="1">
      <c r="A3" s="1" t="s">
        <v>11</v>
      </c>
      <c r="G3" s="1" t="s">
        <v>12</v>
      </c>
      <c r="M3" s="1" t="s">
        <v>13</v>
      </c>
      <c r="S3" s="1" t="s">
        <v>14</v>
      </c>
      <c r="Y3" s="1" t="s">
        <v>15</v>
      </c>
      <c r="AE3" s="1" t="s">
        <v>16</v>
      </c>
      <c r="AK3" s="1" t="s">
        <v>17</v>
      </c>
      <c r="AQ3" s="1" t="s">
        <v>18</v>
      </c>
      <c r="AW3" s="1" t="s">
        <v>19</v>
      </c>
      <c r="BC3" s="1" t="s">
        <v>20</v>
      </c>
      <c r="BI3" s="1" t="s">
        <v>21</v>
      </c>
      <c r="BO3" s="1" t="s">
        <v>22</v>
      </c>
    </row>
    <row r="4" spans="1:72">
      <c r="A4" s="94" t="s">
        <v>718</v>
      </c>
      <c r="B4" s="95"/>
      <c r="C4" s="95"/>
      <c r="D4" s="96" t="s">
        <v>719</v>
      </c>
      <c r="E4" s="96" t="s">
        <v>720</v>
      </c>
      <c r="F4" s="97" t="s">
        <v>721</v>
      </c>
      <c r="G4" s="94" t="s">
        <v>718</v>
      </c>
      <c r="H4" s="95"/>
      <c r="I4" s="95"/>
      <c r="J4" s="96" t="s">
        <v>719</v>
      </c>
      <c r="K4" s="96" t="s">
        <v>720</v>
      </c>
      <c r="L4" s="97" t="s">
        <v>721</v>
      </c>
      <c r="M4" s="112" t="s">
        <v>718</v>
      </c>
      <c r="N4" s="113"/>
      <c r="O4" s="113"/>
      <c r="P4" s="114" t="s">
        <v>719</v>
      </c>
      <c r="Q4" s="114" t="s">
        <v>720</v>
      </c>
      <c r="R4" s="115" t="s">
        <v>721</v>
      </c>
      <c r="S4" s="112" t="s">
        <v>718</v>
      </c>
      <c r="T4" s="113"/>
      <c r="U4" s="113"/>
      <c r="V4" s="114" t="s">
        <v>719</v>
      </c>
      <c r="W4" s="114" t="s">
        <v>720</v>
      </c>
      <c r="X4" s="115" t="s">
        <v>721</v>
      </c>
      <c r="Y4" s="112" t="s">
        <v>718</v>
      </c>
      <c r="Z4" s="113"/>
      <c r="AA4" s="113"/>
      <c r="AB4" s="114" t="s">
        <v>719</v>
      </c>
      <c r="AC4" s="114" t="s">
        <v>720</v>
      </c>
      <c r="AD4" s="115" t="s">
        <v>721</v>
      </c>
      <c r="AE4" s="94" t="s">
        <v>718</v>
      </c>
      <c r="AF4" s="95"/>
      <c r="AG4" s="95"/>
      <c r="AH4" s="96" t="s">
        <v>719</v>
      </c>
      <c r="AI4" s="96" t="s">
        <v>720</v>
      </c>
      <c r="AJ4" s="97" t="s">
        <v>721</v>
      </c>
      <c r="AK4" s="128" t="s">
        <v>718</v>
      </c>
      <c r="AL4" s="95"/>
      <c r="AM4" s="95"/>
      <c r="AN4" s="129" t="s">
        <v>719</v>
      </c>
      <c r="AO4" s="129" t="s">
        <v>720</v>
      </c>
      <c r="AP4" s="130" t="s">
        <v>721</v>
      </c>
      <c r="AQ4" s="128" t="s">
        <v>718</v>
      </c>
      <c r="AR4" s="95"/>
      <c r="AS4" s="95"/>
      <c r="AT4" s="129" t="s">
        <v>719</v>
      </c>
      <c r="AU4" s="129" t="s">
        <v>720</v>
      </c>
      <c r="AV4" s="130" t="s">
        <v>721</v>
      </c>
      <c r="AW4" s="139" t="s">
        <v>718</v>
      </c>
      <c r="AX4" s="113"/>
      <c r="AY4" s="113"/>
      <c r="AZ4" s="140" t="s">
        <v>719</v>
      </c>
      <c r="BA4" s="140" t="s">
        <v>720</v>
      </c>
      <c r="BB4" s="141" t="s">
        <v>721</v>
      </c>
      <c r="BC4" s="128" t="s">
        <v>718</v>
      </c>
      <c r="BD4" s="95"/>
      <c r="BE4" s="95"/>
      <c r="BF4" s="129" t="s">
        <v>719</v>
      </c>
      <c r="BG4" s="129" t="s">
        <v>720</v>
      </c>
      <c r="BH4" s="130" t="s">
        <v>721</v>
      </c>
      <c r="BI4" s="128" t="s">
        <v>718</v>
      </c>
      <c r="BJ4" s="95"/>
      <c r="BK4" s="95"/>
      <c r="BL4" s="129" t="s">
        <v>719</v>
      </c>
      <c r="BM4" s="129" t="s">
        <v>720</v>
      </c>
      <c r="BN4" s="130" t="s">
        <v>721</v>
      </c>
      <c r="BO4" s="128" t="s">
        <v>718</v>
      </c>
      <c r="BP4" s="95"/>
      <c r="BQ4" s="95"/>
      <c r="BR4" s="129" t="s">
        <v>719</v>
      </c>
      <c r="BS4" s="129" t="s">
        <v>720</v>
      </c>
      <c r="BT4" s="130" t="s">
        <v>721</v>
      </c>
    </row>
    <row r="5" spans="1:72">
      <c r="A5" s="98" t="s">
        <v>722</v>
      </c>
      <c r="B5" s="99" t="s">
        <v>723</v>
      </c>
      <c r="C5" s="100"/>
      <c r="D5" s="101">
        <v>7</v>
      </c>
      <c r="E5" s="101">
        <v>146129</v>
      </c>
      <c r="F5" s="102">
        <v>256.08</v>
      </c>
      <c r="G5" s="98" t="s">
        <v>722</v>
      </c>
      <c r="H5" s="99" t="s">
        <v>723</v>
      </c>
      <c r="I5" s="100"/>
      <c r="J5" s="101">
        <v>7</v>
      </c>
      <c r="K5" s="101">
        <v>124008</v>
      </c>
      <c r="L5" s="102">
        <v>283.92</v>
      </c>
      <c r="M5" s="116" t="s">
        <v>722</v>
      </c>
      <c r="N5" s="117" t="s">
        <v>723</v>
      </c>
      <c r="O5" s="118"/>
      <c r="P5" s="119">
        <v>7</v>
      </c>
      <c r="Q5" s="119">
        <v>170475</v>
      </c>
      <c r="R5" s="120">
        <v>299.92</v>
      </c>
      <c r="S5" s="116" t="s">
        <v>722</v>
      </c>
      <c r="T5" s="117" t="s">
        <v>723</v>
      </c>
      <c r="U5" s="118"/>
      <c r="V5" s="119">
        <v>7</v>
      </c>
      <c r="W5" s="119">
        <v>168449</v>
      </c>
      <c r="X5" s="120">
        <v>296.08</v>
      </c>
      <c r="Y5" s="116" t="s">
        <v>722</v>
      </c>
      <c r="Z5" s="117" t="s">
        <v>723</v>
      </c>
      <c r="AA5" s="118"/>
      <c r="AB5" s="119">
        <v>7</v>
      </c>
      <c r="AC5" s="119">
        <v>173238</v>
      </c>
      <c r="AD5" s="120">
        <v>298.48</v>
      </c>
      <c r="AE5" s="98" t="s">
        <v>722</v>
      </c>
      <c r="AF5" s="99" t="s">
        <v>723</v>
      </c>
      <c r="AG5" s="100"/>
      <c r="AH5" s="101">
        <v>7</v>
      </c>
      <c r="AI5" s="101">
        <v>176171</v>
      </c>
      <c r="AJ5" s="102">
        <v>311.44</v>
      </c>
      <c r="AK5" s="131" t="s">
        <v>722</v>
      </c>
      <c r="AL5" s="132" t="s">
        <v>723</v>
      </c>
      <c r="AM5" s="100"/>
      <c r="AN5" s="133">
        <v>7</v>
      </c>
      <c r="AO5" s="133">
        <v>178840</v>
      </c>
      <c r="AP5" s="134">
        <v>291.68</v>
      </c>
      <c r="AQ5" s="131" t="s">
        <v>722</v>
      </c>
      <c r="AR5" s="132" t="s">
        <v>723</v>
      </c>
      <c r="AS5" s="100"/>
      <c r="AT5" s="133">
        <v>7</v>
      </c>
      <c r="AU5" s="133">
        <v>180111</v>
      </c>
      <c r="AV5" s="134">
        <v>295.12</v>
      </c>
      <c r="AW5" s="142" t="s">
        <v>722</v>
      </c>
      <c r="AX5" s="143" t="s">
        <v>723</v>
      </c>
      <c r="AY5" s="118"/>
      <c r="AZ5" s="144">
        <v>7</v>
      </c>
      <c r="BA5" s="144">
        <v>170555</v>
      </c>
      <c r="BB5" s="145">
        <v>301.36</v>
      </c>
      <c r="BC5" s="131" t="s">
        <v>722</v>
      </c>
      <c r="BD5" s="132" t="s">
        <v>723</v>
      </c>
      <c r="BE5" s="100"/>
      <c r="BF5" s="133">
        <v>7</v>
      </c>
      <c r="BG5" s="133">
        <v>159796</v>
      </c>
      <c r="BH5" s="134">
        <v>268.08</v>
      </c>
      <c r="BI5" s="131" t="s">
        <v>722</v>
      </c>
      <c r="BJ5" s="132" t="s">
        <v>723</v>
      </c>
      <c r="BK5" s="100"/>
      <c r="BL5" s="133">
        <v>7</v>
      </c>
      <c r="BM5" s="133">
        <v>128632</v>
      </c>
      <c r="BN5" s="134">
        <v>285.52</v>
      </c>
      <c r="BO5" s="131" t="s">
        <v>722</v>
      </c>
      <c r="BP5" s="132" t="s">
        <v>723</v>
      </c>
      <c r="BQ5" s="100"/>
      <c r="BR5" s="133">
        <v>7</v>
      </c>
      <c r="BS5" s="133">
        <v>149089</v>
      </c>
      <c r="BT5" s="134">
        <v>275.83999999999997</v>
      </c>
    </row>
    <row r="6" spans="1:72">
      <c r="A6" s="98" t="s">
        <v>724</v>
      </c>
      <c r="B6" s="99" t="s">
        <v>725</v>
      </c>
      <c r="C6" s="100"/>
      <c r="D6" s="101">
        <v>6</v>
      </c>
      <c r="E6" s="101">
        <v>559368</v>
      </c>
      <c r="F6" s="102">
        <v>1954.72</v>
      </c>
      <c r="G6" s="98" t="s">
        <v>724</v>
      </c>
      <c r="H6" s="99" t="s">
        <v>725</v>
      </c>
      <c r="I6" s="100"/>
      <c r="J6" s="101">
        <v>6</v>
      </c>
      <c r="K6" s="101">
        <v>601944</v>
      </c>
      <c r="L6" s="102">
        <v>2043.2</v>
      </c>
      <c r="M6" s="116" t="s">
        <v>724</v>
      </c>
      <c r="N6" s="117" t="s">
        <v>725</v>
      </c>
      <c r="O6" s="118"/>
      <c r="P6" s="119">
        <v>6</v>
      </c>
      <c r="Q6" s="119">
        <v>760664</v>
      </c>
      <c r="R6" s="120">
        <v>2136.08</v>
      </c>
      <c r="S6" s="116" t="s">
        <v>724</v>
      </c>
      <c r="T6" s="117" t="s">
        <v>725</v>
      </c>
      <c r="U6" s="118"/>
      <c r="V6" s="119">
        <v>6</v>
      </c>
      <c r="W6" s="119">
        <v>942360</v>
      </c>
      <c r="X6" s="120">
        <v>2241.6</v>
      </c>
      <c r="Y6" s="116" t="s">
        <v>724</v>
      </c>
      <c r="Z6" s="117" t="s">
        <v>725</v>
      </c>
      <c r="AA6" s="118"/>
      <c r="AB6" s="119">
        <v>6</v>
      </c>
      <c r="AC6" s="119">
        <v>952912</v>
      </c>
      <c r="AD6" s="120">
        <v>2484.64</v>
      </c>
      <c r="AE6" s="98" t="s">
        <v>724</v>
      </c>
      <c r="AF6" s="99" t="s">
        <v>725</v>
      </c>
      <c r="AG6" s="100"/>
      <c r="AH6" s="101">
        <v>6</v>
      </c>
      <c r="AI6" s="101">
        <v>827680</v>
      </c>
      <c r="AJ6" s="102">
        <v>1758.32</v>
      </c>
      <c r="AK6" s="131" t="s">
        <v>724</v>
      </c>
      <c r="AL6" s="132" t="s">
        <v>725</v>
      </c>
      <c r="AM6" s="100"/>
      <c r="AN6" s="133">
        <v>6</v>
      </c>
      <c r="AO6" s="133">
        <v>996400</v>
      </c>
      <c r="AP6" s="134">
        <v>2450.8000000000002</v>
      </c>
      <c r="AQ6" s="131" t="s">
        <v>724</v>
      </c>
      <c r="AR6" s="132" t="s">
        <v>725</v>
      </c>
      <c r="AS6" s="100"/>
      <c r="AT6" s="133">
        <v>6</v>
      </c>
      <c r="AU6" s="133">
        <v>904288</v>
      </c>
      <c r="AV6" s="134">
        <v>2142.2399999999998</v>
      </c>
      <c r="AW6" s="142" t="s">
        <v>724</v>
      </c>
      <c r="AX6" s="143" t="s">
        <v>725</v>
      </c>
      <c r="AY6" s="118"/>
      <c r="AZ6" s="144">
        <v>6</v>
      </c>
      <c r="BA6" s="144">
        <v>1001920</v>
      </c>
      <c r="BB6" s="145">
        <v>2460</v>
      </c>
      <c r="BC6" s="131" t="s">
        <v>724</v>
      </c>
      <c r="BD6" s="132" t="s">
        <v>725</v>
      </c>
      <c r="BE6" s="100"/>
      <c r="BF6" s="133">
        <v>6</v>
      </c>
      <c r="BG6" s="133">
        <v>890528</v>
      </c>
      <c r="BH6" s="134">
        <v>2334.64</v>
      </c>
      <c r="BI6" s="131" t="s">
        <v>724</v>
      </c>
      <c r="BJ6" s="132" t="s">
        <v>725</v>
      </c>
      <c r="BK6" s="100"/>
      <c r="BL6" s="133">
        <v>6</v>
      </c>
      <c r="BM6" s="133">
        <v>558128</v>
      </c>
      <c r="BN6" s="134">
        <v>2084.64</v>
      </c>
      <c r="BO6" s="131" t="s">
        <v>724</v>
      </c>
      <c r="BP6" s="132" t="s">
        <v>725</v>
      </c>
      <c r="BQ6" s="100"/>
      <c r="BR6" s="133">
        <v>5</v>
      </c>
      <c r="BS6" s="133">
        <v>652480</v>
      </c>
      <c r="BT6" s="134">
        <v>2046.64</v>
      </c>
    </row>
    <row r="7" spans="1:72">
      <c r="A7" s="98" t="s">
        <v>726</v>
      </c>
      <c r="B7" s="99" t="s">
        <v>727</v>
      </c>
      <c r="C7" s="100"/>
      <c r="D7" s="101">
        <v>1</v>
      </c>
      <c r="E7" s="101">
        <v>9640</v>
      </c>
      <c r="F7" s="102">
        <v>28.76</v>
      </c>
      <c r="G7" s="98" t="s">
        <v>726</v>
      </c>
      <c r="H7" s="99" t="s">
        <v>727</v>
      </c>
      <c r="I7" s="100"/>
      <c r="J7" s="101">
        <v>1</v>
      </c>
      <c r="K7" s="101">
        <v>9160</v>
      </c>
      <c r="L7" s="102">
        <v>28.52</v>
      </c>
      <c r="M7" s="116" t="s">
        <v>726</v>
      </c>
      <c r="N7" s="117" t="s">
        <v>727</v>
      </c>
      <c r="O7" s="118"/>
      <c r="P7" s="119">
        <v>1</v>
      </c>
      <c r="Q7" s="119">
        <v>8200</v>
      </c>
      <c r="R7" s="120">
        <v>28.48</v>
      </c>
      <c r="S7" s="116" t="s">
        <v>726</v>
      </c>
      <c r="T7" s="117" t="s">
        <v>727</v>
      </c>
      <c r="U7" s="118"/>
      <c r="V7" s="119">
        <v>1</v>
      </c>
      <c r="W7" s="119">
        <v>6040</v>
      </c>
      <c r="X7" s="120">
        <v>25.28</v>
      </c>
      <c r="Y7" s="116" t="s">
        <v>726</v>
      </c>
      <c r="Z7" s="117" t="s">
        <v>727</v>
      </c>
      <c r="AA7" s="118"/>
      <c r="AB7" s="119">
        <v>1</v>
      </c>
      <c r="AC7" s="119">
        <v>6120</v>
      </c>
      <c r="AD7" s="120">
        <v>28.12</v>
      </c>
      <c r="AE7" s="98" t="s">
        <v>726</v>
      </c>
      <c r="AF7" s="99" t="s">
        <v>727</v>
      </c>
      <c r="AG7" s="100"/>
      <c r="AH7" s="101">
        <v>2</v>
      </c>
      <c r="AI7" s="101">
        <v>6518</v>
      </c>
      <c r="AJ7" s="102">
        <v>24.08</v>
      </c>
      <c r="AK7" s="131" t="s">
        <v>726</v>
      </c>
      <c r="AL7" s="132" t="s">
        <v>727</v>
      </c>
      <c r="AM7" s="100"/>
      <c r="AN7" s="133">
        <v>2</v>
      </c>
      <c r="AO7" s="133">
        <v>7864</v>
      </c>
      <c r="AP7" s="134">
        <v>26.6</v>
      </c>
      <c r="AQ7" s="131" t="s">
        <v>726</v>
      </c>
      <c r="AR7" s="132" t="s">
        <v>727</v>
      </c>
      <c r="AS7" s="100"/>
      <c r="AT7" s="133">
        <v>2</v>
      </c>
      <c r="AU7" s="133">
        <v>7550</v>
      </c>
      <c r="AV7" s="134">
        <v>26.28</v>
      </c>
      <c r="AW7" s="142" t="s">
        <v>726</v>
      </c>
      <c r="AX7" s="143" t="s">
        <v>727</v>
      </c>
      <c r="AY7" s="118"/>
      <c r="AZ7" s="144">
        <v>2</v>
      </c>
      <c r="BA7" s="144">
        <v>8132</v>
      </c>
      <c r="BB7" s="145">
        <v>26.72</v>
      </c>
      <c r="BC7" s="131" t="s">
        <v>726</v>
      </c>
      <c r="BD7" s="132" t="s">
        <v>727</v>
      </c>
      <c r="BE7" s="100"/>
      <c r="BF7" s="133">
        <v>2</v>
      </c>
      <c r="BG7" s="133">
        <v>5568</v>
      </c>
      <c r="BH7" s="134">
        <v>24.56</v>
      </c>
      <c r="BI7" s="131" t="s">
        <v>726</v>
      </c>
      <c r="BJ7" s="132" t="s">
        <v>727</v>
      </c>
      <c r="BK7" s="100"/>
      <c r="BL7" s="133">
        <v>2</v>
      </c>
      <c r="BM7" s="133">
        <v>6839</v>
      </c>
      <c r="BN7" s="134">
        <v>27.04</v>
      </c>
      <c r="BO7" s="131" t="s">
        <v>726</v>
      </c>
      <c r="BP7" s="132" t="s">
        <v>727</v>
      </c>
      <c r="BQ7" s="100"/>
      <c r="BR7" s="133">
        <v>1</v>
      </c>
      <c r="BS7" s="133">
        <v>8200</v>
      </c>
      <c r="BT7" s="134">
        <v>25.44</v>
      </c>
    </row>
    <row r="8" spans="1:72">
      <c r="A8" s="98" t="s">
        <v>728</v>
      </c>
      <c r="B8" s="99" t="s">
        <v>729</v>
      </c>
      <c r="C8" s="100"/>
      <c r="D8" s="101">
        <v>43</v>
      </c>
      <c r="E8" s="101">
        <v>1259801</v>
      </c>
      <c r="F8" s="102">
        <v>3465.3</v>
      </c>
      <c r="G8" s="98" t="s">
        <v>728</v>
      </c>
      <c r="H8" s="99" t="s">
        <v>729</v>
      </c>
      <c r="I8" s="100"/>
      <c r="J8" s="101">
        <v>43</v>
      </c>
      <c r="K8" s="101">
        <v>1454249</v>
      </c>
      <c r="L8" s="102">
        <v>3647.4</v>
      </c>
      <c r="M8" s="116" t="s">
        <v>728</v>
      </c>
      <c r="N8" s="117" t="s">
        <v>729</v>
      </c>
      <c r="O8" s="118"/>
      <c r="P8" s="119">
        <v>43</v>
      </c>
      <c r="Q8" s="119">
        <v>1561683</v>
      </c>
      <c r="R8" s="120">
        <v>3557.36</v>
      </c>
      <c r="S8" s="116" t="s">
        <v>728</v>
      </c>
      <c r="T8" s="117" t="s">
        <v>729</v>
      </c>
      <c r="U8" s="118"/>
      <c r="V8" s="119">
        <v>43</v>
      </c>
      <c r="W8" s="119">
        <v>1729834</v>
      </c>
      <c r="X8" s="120">
        <v>3562.67</v>
      </c>
      <c r="Y8" s="116" t="s">
        <v>728</v>
      </c>
      <c r="Z8" s="117" t="s">
        <v>729</v>
      </c>
      <c r="AA8" s="118"/>
      <c r="AB8" s="119">
        <v>43</v>
      </c>
      <c r="AC8" s="119">
        <v>1533539</v>
      </c>
      <c r="AD8" s="120">
        <v>3532.16</v>
      </c>
      <c r="AE8" s="98" t="s">
        <v>728</v>
      </c>
      <c r="AF8" s="99" t="s">
        <v>729</v>
      </c>
      <c r="AG8" s="100"/>
      <c r="AH8" s="101">
        <v>43</v>
      </c>
      <c r="AI8" s="101">
        <v>1016868</v>
      </c>
      <c r="AJ8" s="102">
        <v>1970.61</v>
      </c>
      <c r="AK8" s="131" t="s">
        <v>728</v>
      </c>
      <c r="AL8" s="132" t="s">
        <v>729</v>
      </c>
      <c r="AM8" s="100"/>
      <c r="AN8" s="133">
        <v>43</v>
      </c>
      <c r="AO8" s="133">
        <v>1115658</v>
      </c>
      <c r="AP8" s="134">
        <v>2237.29</v>
      </c>
      <c r="AQ8" s="131" t="s">
        <v>728</v>
      </c>
      <c r="AR8" s="132" t="s">
        <v>729</v>
      </c>
      <c r="AS8" s="100"/>
      <c r="AT8" s="133">
        <v>43</v>
      </c>
      <c r="AU8" s="133">
        <v>1039657</v>
      </c>
      <c r="AV8" s="134">
        <v>2469.6</v>
      </c>
      <c r="AW8" s="142" t="s">
        <v>728</v>
      </c>
      <c r="AX8" s="143" t="s">
        <v>729</v>
      </c>
      <c r="AY8" s="118"/>
      <c r="AZ8" s="144">
        <v>44</v>
      </c>
      <c r="BA8" s="144">
        <v>1879090</v>
      </c>
      <c r="BB8" s="145">
        <v>4392.21</v>
      </c>
      <c r="BC8" s="131" t="s">
        <v>728</v>
      </c>
      <c r="BD8" s="132" t="s">
        <v>729</v>
      </c>
      <c r="BE8" s="100"/>
      <c r="BF8" s="133">
        <v>44</v>
      </c>
      <c r="BG8" s="133">
        <v>1969920</v>
      </c>
      <c r="BH8" s="134">
        <v>4212.9399999999996</v>
      </c>
      <c r="BI8" s="131" t="s">
        <v>728</v>
      </c>
      <c r="BJ8" s="132" t="s">
        <v>729</v>
      </c>
      <c r="BK8" s="100"/>
      <c r="BL8" s="133">
        <v>44</v>
      </c>
      <c r="BM8" s="133">
        <v>1559940</v>
      </c>
      <c r="BN8" s="134">
        <v>4169.07</v>
      </c>
      <c r="BO8" s="131" t="s">
        <v>728</v>
      </c>
      <c r="BP8" s="132" t="s">
        <v>729</v>
      </c>
      <c r="BQ8" s="100"/>
      <c r="BR8" s="133">
        <v>44</v>
      </c>
      <c r="BS8" s="133">
        <v>1734746</v>
      </c>
      <c r="BT8" s="134">
        <v>4247.12</v>
      </c>
    </row>
    <row r="9" spans="1:72">
      <c r="A9" s="98" t="s">
        <v>730</v>
      </c>
      <c r="B9" s="99" t="s">
        <v>731</v>
      </c>
      <c r="C9" s="100"/>
      <c r="D9" s="101">
        <v>19</v>
      </c>
      <c r="E9" s="101">
        <v>1023400</v>
      </c>
      <c r="F9" s="102">
        <v>3159.3</v>
      </c>
      <c r="G9" s="98" t="s">
        <v>730</v>
      </c>
      <c r="H9" s="99" t="s">
        <v>731</v>
      </c>
      <c r="I9" s="100"/>
      <c r="J9" s="101">
        <v>19</v>
      </c>
      <c r="K9" s="101">
        <v>800720</v>
      </c>
      <c r="L9" s="102">
        <v>3161.51</v>
      </c>
      <c r="M9" s="116" t="s">
        <v>730</v>
      </c>
      <c r="N9" s="117" t="s">
        <v>731</v>
      </c>
      <c r="O9" s="118"/>
      <c r="P9" s="119">
        <v>19</v>
      </c>
      <c r="Q9" s="119">
        <v>1016032</v>
      </c>
      <c r="R9" s="120">
        <v>2898.45</v>
      </c>
      <c r="S9" s="116" t="s">
        <v>730</v>
      </c>
      <c r="T9" s="117" t="s">
        <v>731</v>
      </c>
      <c r="U9" s="118"/>
      <c r="V9" s="119">
        <v>19</v>
      </c>
      <c r="W9" s="119">
        <v>1054120</v>
      </c>
      <c r="X9" s="120">
        <v>3860.53</v>
      </c>
      <c r="Y9" s="116" t="s">
        <v>730</v>
      </c>
      <c r="Z9" s="117" t="s">
        <v>731</v>
      </c>
      <c r="AA9" s="118"/>
      <c r="AB9" s="119">
        <v>20</v>
      </c>
      <c r="AC9" s="119">
        <v>1182832</v>
      </c>
      <c r="AD9" s="120">
        <v>3359.29</v>
      </c>
      <c r="AE9" s="98" t="s">
        <v>730</v>
      </c>
      <c r="AF9" s="99" t="s">
        <v>731</v>
      </c>
      <c r="AG9" s="100"/>
      <c r="AH9" s="101">
        <v>20</v>
      </c>
      <c r="AI9" s="101">
        <v>1084640</v>
      </c>
      <c r="AJ9" s="102">
        <v>3091.25</v>
      </c>
      <c r="AK9" s="131" t="s">
        <v>730</v>
      </c>
      <c r="AL9" s="132" t="s">
        <v>731</v>
      </c>
      <c r="AM9" s="100"/>
      <c r="AN9" s="133">
        <v>20</v>
      </c>
      <c r="AO9" s="133">
        <v>1259376</v>
      </c>
      <c r="AP9" s="134">
        <v>3470.9</v>
      </c>
      <c r="AQ9" s="131" t="s">
        <v>730</v>
      </c>
      <c r="AR9" s="132" t="s">
        <v>731</v>
      </c>
      <c r="AS9" s="100"/>
      <c r="AT9" s="133">
        <v>20</v>
      </c>
      <c r="AU9" s="133">
        <v>1236104</v>
      </c>
      <c r="AV9" s="134">
        <v>3402.55</v>
      </c>
      <c r="AW9" s="142" t="s">
        <v>730</v>
      </c>
      <c r="AX9" s="143" t="s">
        <v>731</v>
      </c>
      <c r="AY9" s="118"/>
      <c r="AZ9" s="144">
        <v>20</v>
      </c>
      <c r="BA9" s="144">
        <v>1295216</v>
      </c>
      <c r="BB9" s="145">
        <v>5199.3500000000004</v>
      </c>
      <c r="BC9" s="131" t="s">
        <v>730</v>
      </c>
      <c r="BD9" s="132" t="s">
        <v>731</v>
      </c>
      <c r="BE9" s="100"/>
      <c r="BF9" s="133">
        <v>20</v>
      </c>
      <c r="BG9" s="133">
        <v>1272816</v>
      </c>
      <c r="BH9" s="134">
        <v>4838.8599999999997</v>
      </c>
      <c r="BI9" s="131" t="s">
        <v>730</v>
      </c>
      <c r="BJ9" s="132" t="s">
        <v>731</v>
      </c>
      <c r="BK9" s="100"/>
      <c r="BL9" s="133">
        <v>20</v>
      </c>
      <c r="BM9" s="133">
        <v>961368</v>
      </c>
      <c r="BN9" s="134">
        <v>5127.91</v>
      </c>
      <c r="BO9" s="131" t="s">
        <v>730</v>
      </c>
      <c r="BP9" s="132" t="s">
        <v>731</v>
      </c>
      <c r="BQ9" s="100"/>
      <c r="BR9" s="133">
        <v>20</v>
      </c>
      <c r="BS9" s="133">
        <v>1076024</v>
      </c>
      <c r="BT9" s="134">
        <v>4134.05</v>
      </c>
    </row>
    <row r="10" spans="1:72">
      <c r="A10" s="98" t="s">
        <v>732</v>
      </c>
      <c r="B10" s="99" t="s">
        <v>733</v>
      </c>
      <c r="C10" s="100"/>
      <c r="D10" s="101">
        <v>19</v>
      </c>
      <c r="E10" s="101">
        <v>994778</v>
      </c>
      <c r="F10" s="102">
        <v>2486.16</v>
      </c>
      <c r="G10" s="98" t="s">
        <v>732</v>
      </c>
      <c r="H10" s="99" t="s">
        <v>733</v>
      </c>
      <c r="I10" s="100"/>
      <c r="J10" s="101">
        <v>19</v>
      </c>
      <c r="K10" s="101">
        <v>901769</v>
      </c>
      <c r="L10" s="102">
        <v>2840.18</v>
      </c>
      <c r="M10" s="116" t="s">
        <v>732</v>
      </c>
      <c r="N10" s="117" t="s">
        <v>733</v>
      </c>
      <c r="O10" s="118"/>
      <c r="P10" s="119">
        <v>19</v>
      </c>
      <c r="Q10" s="119">
        <v>1115714</v>
      </c>
      <c r="R10" s="120">
        <v>2981.08</v>
      </c>
      <c r="S10" s="116" t="s">
        <v>732</v>
      </c>
      <c r="T10" s="117" t="s">
        <v>733</v>
      </c>
      <c r="U10" s="118"/>
      <c r="V10" s="119">
        <v>19</v>
      </c>
      <c r="W10" s="119">
        <v>1236726</v>
      </c>
      <c r="X10" s="120">
        <v>2876.32</v>
      </c>
      <c r="Y10" s="116" t="s">
        <v>732</v>
      </c>
      <c r="Z10" s="117" t="s">
        <v>733</v>
      </c>
      <c r="AA10" s="118"/>
      <c r="AB10" s="119">
        <v>19</v>
      </c>
      <c r="AC10" s="119">
        <v>1249806</v>
      </c>
      <c r="AD10" s="120">
        <v>3294.97</v>
      </c>
      <c r="AE10" s="98" t="s">
        <v>732</v>
      </c>
      <c r="AF10" s="99" t="s">
        <v>733</v>
      </c>
      <c r="AG10" s="100"/>
      <c r="AH10" s="101">
        <v>19</v>
      </c>
      <c r="AI10" s="101">
        <v>1179470</v>
      </c>
      <c r="AJ10" s="102">
        <v>2753.06</v>
      </c>
      <c r="AK10" s="131" t="s">
        <v>732</v>
      </c>
      <c r="AL10" s="132" t="s">
        <v>733</v>
      </c>
      <c r="AM10" s="100"/>
      <c r="AN10" s="133">
        <v>19</v>
      </c>
      <c r="AO10" s="133">
        <v>1271842</v>
      </c>
      <c r="AP10" s="134">
        <v>3086.41</v>
      </c>
      <c r="AQ10" s="131" t="s">
        <v>732</v>
      </c>
      <c r="AR10" s="132" t="s">
        <v>733</v>
      </c>
      <c r="AS10" s="100"/>
      <c r="AT10" s="133">
        <v>19</v>
      </c>
      <c r="AU10" s="133">
        <v>1252055</v>
      </c>
      <c r="AV10" s="134">
        <v>3016.98</v>
      </c>
      <c r="AW10" s="142" t="s">
        <v>732</v>
      </c>
      <c r="AX10" s="143" t="s">
        <v>733</v>
      </c>
      <c r="AY10" s="118"/>
      <c r="AZ10" s="144">
        <v>19</v>
      </c>
      <c r="BA10" s="144">
        <v>1166946</v>
      </c>
      <c r="BB10" s="145">
        <v>3572.02</v>
      </c>
      <c r="BC10" s="131" t="s">
        <v>732</v>
      </c>
      <c r="BD10" s="132" t="s">
        <v>733</v>
      </c>
      <c r="BE10" s="100"/>
      <c r="BF10" s="133">
        <v>19</v>
      </c>
      <c r="BG10" s="133">
        <v>1364144</v>
      </c>
      <c r="BH10" s="134">
        <v>3444.35</v>
      </c>
      <c r="BI10" s="131" t="s">
        <v>732</v>
      </c>
      <c r="BJ10" s="132" t="s">
        <v>733</v>
      </c>
      <c r="BK10" s="100"/>
      <c r="BL10" s="133">
        <v>20</v>
      </c>
      <c r="BM10" s="133">
        <v>986598</v>
      </c>
      <c r="BN10" s="134">
        <v>3397.74</v>
      </c>
      <c r="BO10" s="131" t="s">
        <v>732</v>
      </c>
      <c r="BP10" s="132" t="s">
        <v>733</v>
      </c>
      <c r="BQ10" s="100"/>
      <c r="BR10" s="133">
        <v>19</v>
      </c>
      <c r="BS10" s="133">
        <v>1087412</v>
      </c>
      <c r="BT10" s="134">
        <v>2847.81</v>
      </c>
    </row>
    <row r="11" spans="1:72">
      <c r="A11" s="103" t="s">
        <v>734</v>
      </c>
      <c r="B11" s="100"/>
      <c r="C11" s="100"/>
      <c r="D11" s="101">
        <v>95</v>
      </c>
      <c r="E11" s="101">
        <v>3993116</v>
      </c>
      <c r="F11" s="102">
        <v>11350.32</v>
      </c>
      <c r="G11" s="103" t="s">
        <v>734</v>
      </c>
      <c r="H11" s="100"/>
      <c r="I11" s="100"/>
      <c r="J11" s="101">
        <v>95</v>
      </c>
      <c r="K11" s="101">
        <v>3891850</v>
      </c>
      <c r="L11" s="102">
        <v>12004.73</v>
      </c>
      <c r="M11" s="121" t="s">
        <v>734</v>
      </c>
      <c r="N11" s="118"/>
      <c r="O11" s="118"/>
      <c r="P11" s="119">
        <v>95</v>
      </c>
      <c r="Q11" s="119">
        <v>4632768</v>
      </c>
      <c r="R11" s="120">
        <v>11901.37</v>
      </c>
      <c r="S11" s="121" t="s">
        <v>734</v>
      </c>
      <c r="T11" s="118"/>
      <c r="U11" s="118"/>
      <c r="V11" s="119">
        <v>95</v>
      </c>
      <c r="W11" s="119">
        <v>5137529</v>
      </c>
      <c r="X11" s="120">
        <v>12862.48</v>
      </c>
      <c r="Y11" s="121" t="s">
        <v>734</v>
      </c>
      <c r="Z11" s="118"/>
      <c r="AA11" s="118"/>
      <c r="AB11" s="119">
        <v>96</v>
      </c>
      <c r="AC11" s="119">
        <v>5098447</v>
      </c>
      <c r="AD11" s="120">
        <v>12997.66</v>
      </c>
      <c r="AE11" s="103" t="s">
        <v>734</v>
      </c>
      <c r="AF11" s="100"/>
      <c r="AG11" s="100"/>
      <c r="AH11" s="101">
        <v>97</v>
      </c>
      <c r="AI11" s="101">
        <v>4291347</v>
      </c>
      <c r="AJ11" s="102">
        <v>9908.76</v>
      </c>
      <c r="AK11" s="135" t="s">
        <v>734</v>
      </c>
      <c r="AL11" s="100"/>
      <c r="AM11" s="100"/>
      <c r="AN11" s="133">
        <v>97</v>
      </c>
      <c r="AO11" s="133">
        <v>4829980</v>
      </c>
      <c r="AP11" s="134">
        <v>11563.68</v>
      </c>
      <c r="AQ11" s="135" t="s">
        <v>734</v>
      </c>
      <c r="AR11" s="100"/>
      <c r="AS11" s="100"/>
      <c r="AT11" s="133">
        <v>97</v>
      </c>
      <c r="AU11" s="133">
        <v>4619765</v>
      </c>
      <c r="AV11" s="134">
        <v>11352.77</v>
      </c>
      <c r="AW11" s="146" t="s">
        <v>734</v>
      </c>
      <c r="AX11" s="118"/>
      <c r="AY11" s="118"/>
      <c r="AZ11" s="144">
        <v>98</v>
      </c>
      <c r="BA11" s="144">
        <v>5521859</v>
      </c>
      <c r="BB11" s="145">
        <v>15951.66</v>
      </c>
      <c r="BC11" s="135" t="s">
        <v>734</v>
      </c>
      <c r="BD11" s="100"/>
      <c r="BE11" s="100"/>
      <c r="BF11" s="133">
        <v>98</v>
      </c>
      <c r="BG11" s="133">
        <v>5662772</v>
      </c>
      <c r="BH11" s="134">
        <v>15123.43</v>
      </c>
      <c r="BI11" s="135" t="s">
        <v>734</v>
      </c>
      <c r="BJ11" s="100"/>
      <c r="BK11" s="100"/>
      <c r="BL11" s="133">
        <v>99</v>
      </c>
      <c r="BM11" s="133">
        <v>4201505</v>
      </c>
      <c r="BN11" s="134">
        <v>15091.92</v>
      </c>
      <c r="BO11" s="135" t="s">
        <v>734</v>
      </c>
      <c r="BP11" s="100"/>
      <c r="BQ11" s="100"/>
      <c r="BR11" s="133">
        <v>96</v>
      </c>
      <c r="BS11" s="133">
        <v>4707951</v>
      </c>
      <c r="BT11" s="134">
        <v>13576.9</v>
      </c>
    </row>
    <row r="12" spans="1:72">
      <c r="A12" s="104"/>
      <c r="B12" s="100"/>
      <c r="C12" s="100"/>
      <c r="D12" s="100"/>
      <c r="E12" s="100"/>
      <c r="F12" s="105"/>
      <c r="G12" s="104"/>
      <c r="H12" s="100"/>
      <c r="I12" s="100"/>
      <c r="J12" s="100"/>
      <c r="K12" s="100"/>
      <c r="L12" s="105"/>
      <c r="M12" s="122"/>
      <c r="N12" s="118"/>
      <c r="O12" s="118"/>
      <c r="P12" s="118"/>
      <c r="Q12" s="118"/>
      <c r="R12" s="123"/>
      <c r="S12" s="122"/>
      <c r="T12" s="118"/>
      <c r="U12" s="118"/>
      <c r="V12" s="118"/>
      <c r="W12" s="118"/>
      <c r="X12" s="123"/>
      <c r="Y12" s="122"/>
      <c r="Z12" s="118"/>
      <c r="AA12" s="118"/>
      <c r="AB12" s="118"/>
      <c r="AC12" s="118"/>
      <c r="AD12" s="123"/>
      <c r="AE12" s="104"/>
      <c r="AF12" s="100"/>
      <c r="AG12" s="100"/>
      <c r="AH12" s="100"/>
      <c r="AI12" s="100"/>
      <c r="AJ12" s="105"/>
      <c r="AK12" s="104"/>
      <c r="AL12" s="100"/>
      <c r="AM12" s="100"/>
      <c r="AN12" s="100"/>
      <c r="AO12" s="100"/>
      <c r="AP12" s="105"/>
      <c r="AQ12" s="104"/>
      <c r="AR12" s="100"/>
      <c r="AS12" s="100"/>
      <c r="AT12" s="100"/>
      <c r="AU12" s="100"/>
      <c r="AV12" s="105"/>
      <c r="AW12" s="122"/>
      <c r="AX12" s="118"/>
      <c r="AY12" s="118"/>
      <c r="AZ12" s="118"/>
      <c r="BA12" s="118"/>
      <c r="BB12" s="123"/>
      <c r="BC12" s="104"/>
      <c r="BD12" s="100"/>
      <c r="BE12" s="100"/>
      <c r="BF12" s="100"/>
      <c r="BG12" s="100"/>
      <c r="BH12" s="105"/>
      <c r="BI12" s="104"/>
      <c r="BJ12" s="100"/>
      <c r="BK12" s="100"/>
      <c r="BL12" s="100"/>
      <c r="BM12" s="100"/>
      <c r="BN12" s="105"/>
      <c r="BO12" s="104"/>
      <c r="BP12" s="100"/>
      <c r="BQ12" s="100"/>
      <c r="BR12" s="100"/>
      <c r="BS12" s="100"/>
      <c r="BT12" s="105"/>
    </row>
    <row r="13" spans="1:72">
      <c r="A13" s="98" t="s">
        <v>735</v>
      </c>
      <c r="B13" s="99" t="s">
        <v>736</v>
      </c>
      <c r="C13" s="100"/>
      <c r="D13" s="101">
        <v>240</v>
      </c>
      <c r="E13" s="101">
        <v>11526342</v>
      </c>
      <c r="F13" s="102">
        <v>25617.99</v>
      </c>
      <c r="G13" s="98" t="s">
        <v>735</v>
      </c>
      <c r="H13" s="99" t="s">
        <v>736</v>
      </c>
      <c r="I13" s="100"/>
      <c r="J13" s="101">
        <v>242</v>
      </c>
      <c r="K13" s="101">
        <v>9721036</v>
      </c>
      <c r="L13" s="102">
        <v>26259.360000000001</v>
      </c>
      <c r="M13" s="116" t="s">
        <v>735</v>
      </c>
      <c r="N13" s="117" t="s">
        <v>736</v>
      </c>
      <c r="O13" s="118"/>
      <c r="P13" s="119">
        <v>243</v>
      </c>
      <c r="Q13" s="119">
        <v>11725016</v>
      </c>
      <c r="R13" s="120">
        <v>26447.64</v>
      </c>
      <c r="S13" s="116" t="s">
        <v>735</v>
      </c>
      <c r="T13" s="117" t="s">
        <v>736</v>
      </c>
      <c r="U13" s="118"/>
      <c r="V13" s="119">
        <v>241</v>
      </c>
      <c r="W13" s="119">
        <v>11517013</v>
      </c>
      <c r="X13" s="120">
        <v>28224.22</v>
      </c>
      <c r="Y13" s="116" t="s">
        <v>735</v>
      </c>
      <c r="Z13" s="117" t="s">
        <v>736</v>
      </c>
      <c r="AA13" s="118"/>
      <c r="AB13" s="119">
        <v>242</v>
      </c>
      <c r="AC13" s="119">
        <v>11592846</v>
      </c>
      <c r="AD13" s="120">
        <v>28955.21</v>
      </c>
      <c r="AE13" s="98" t="s">
        <v>735</v>
      </c>
      <c r="AF13" s="99" t="s">
        <v>736</v>
      </c>
      <c r="AG13" s="100"/>
      <c r="AH13" s="101">
        <v>241</v>
      </c>
      <c r="AI13" s="101">
        <v>12377606</v>
      </c>
      <c r="AJ13" s="102">
        <v>28115.48</v>
      </c>
      <c r="AK13" s="131" t="s">
        <v>735</v>
      </c>
      <c r="AL13" s="132" t="s">
        <v>736</v>
      </c>
      <c r="AM13" s="100"/>
      <c r="AN13" s="133">
        <v>241</v>
      </c>
      <c r="AO13" s="133">
        <v>13430504</v>
      </c>
      <c r="AP13" s="134">
        <v>29366.98</v>
      </c>
      <c r="AQ13" s="131" t="s">
        <v>735</v>
      </c>
      <c r="AR13" s="132" t="s">
        <v>736</v>
      </c>
      <c r="AS13" s="100"/>
      <c r="AT13" s="133">
        <v>241</v>
      </c>
      <c r="AU13" s="133">
        <v>13582463</v>
      </c>
      <c r="AV13" s="134">
        <v>28892.99</v>
      </c>
      <c r="AW13" s="142" t="s">
        <v>735</v>
      </c>
      <c r="AX13" s="143" t="s">
        <v>736</v>
      </c>
      <c r="AY13" s="118"/>
      <c r="AZ13" s="144">
        <v>240</v>
      </c>
      <c r="BA13" s="144">
        <v>12741516</v>
      </c>
      <c r="BB13" s="145">
        <v>28552.1</v>
      </c>
      <c r="BC13" s="131" t="s">
        <v>735</v>
      </c>
      <c r="BD13" s="132" t="s">
        <v>736</v>
      </c>
      <c r="BE13" s="100"/>
      <c r="BF13" s="133">
        <v>241</v>
      </c>
      <c r="BG13" s="133">
        <v>11490478</v>
      </c>
      <c r="BH13" s="134">
        <v>25789.25</v>
      </c>
      <c r="BI13" s="131" t="s">
        <v>735</v>
      </c>
      <c r="BJ13" s="132" t="s">
        <v>736</v>
      </c>
      <c r="BK13" s="100"/>
      <c r="BL13" s="133">
        <v>241</v>
      </c>
      <c r="BM13" s="133">
        <v>9547891</v>
      </c>
      <c r="BN13" s="134">
        <v>25578.21</v>
      </c>
      <c r="BO13" s="131" t="s">
        <v>735</v>
      </c>
      <c r="BP13" s="132" t="s">
        <v>736</v>
      </c>
      <c r="BQ13" s="100"/>
      <c r="BR13" s="133">
        <v>240</v>
      </c>
      <c r="BS13" s="133">
        <v>10680374</v>
      </c>
      <c r="BT13" s="134">
        <v>25948.09</v>
      </c>
    </row>
    <row r="14" spans="1:72">
      <c r="A14" s="98" t="s">
        <v>737</v>
      </c>
      <c r="B14" s="99" t="s">
        <v>738</v>
      </c>
      <c r="C14" s="100"/>
      <c r="D14" s="101">
        <v>3</v>
      </c>
      <c r="E14" s="101">
        <v>1077360</v>
      </c>
      <c r="F14" s="102">
        <v>1851.67</v>
      </c>
      <c r="G14" s="98" t="s">
        <v>737</v>
      </c>
      <c r="H14" s="99" t="s">
        <v>738</v>
      </c>
      <c r="I14" s="100"/>
      <c r="J14" s="101">
        <v>3</v>
      </c>
      <c r="K14" s="101">
        <v>813840</v>
      </c>
      <c r="L14" s="102">
        <v>2002.06</v>
      </c>
      <c r="M14" s="116" t="s">
        <v>737</v>
      </c>
      <c r="N14" s="117" t="s">
        <v>738</v>
      </c>
      <c r="O14" s="118"/>
      <c r="P14" s="119">
        <v>3</v>
      </c>
      <c r="Q14" s="119">
        <v>885456</v>
      </c>
      <c r="R14" s="120">
        <v>2045.59</v>
      </c>
      <c r="S14" s="116" t="s">
        <v>737</v>
      </c>
      <c r="T14" s="117" t="s">
        <v>738</v>
      </c>
      <c r="U14" s="118"/>
      <c r="V14" s="119">
        <v>3</v>
      </c>
      <c r="W14" s="119">
        <v>734592</v>
      </c>
      <c r="X14" s="120">
        <v>1674.62</v>
      </c>
      <c r="Y14" s="116" t="s">
        <v>737</v>
      </c>
      <c r="Z14" s="117" t="s">
        <v>738</v>
      </c>
      <c r="AA14" s="118"/>
      <c r="AB14" s="119">
        <v>3</v>
      </c>
      <c r="AC14" s="119">
        <v>604800</v>
      </c>
      <c r="AD14" s="120">
        <v>1597.97</v>
      </c>
      <c r="AE14" s="98" t="s">
        <v>737</v>
      </c>
      <c r="AF14" s="99" t="s">
        <v>738</v>
      </c>
      <c r="AG14" s="100"/>
      <c r="AH14" s="101">
        <v>3</v>
      </c>
      <c r="AI14" s="101">
        <v>467040</v>
      </c>
      <c r="AJ14" s="102">
        <v>1005.74</v>
      </c>
      <c r="AK14" s="131" t="s">
        <v>737</v>
      </c>
      <c r="AL14" s="132" t="s">
        <v>738</v>
      </c>
      <c r="AM14" s="100"/>
      <c r="AN14" s="133">
        <v>3</v>
      </c>
      <c r="AO14" s="133">
        <v>417984</v>
      </c>
      <c r="AP14" s="134">
        <v>1071.29</v>
      </c>
      <c r="AQ14" s="131" t="s">
        <v>737</v>
      </c>
      <c r="AR14" s="132" t="s">
        <v>738</v>
      </c>
      <c r="AS14" s="100"/>
      <c r="AT14" s="133">
        <v>3</v>
      </c>
      <c r="AU14" s="133">
        <v>424896</v>
      </c>
      <c r="AV14" s="134">
        <v>868.46</v>
      </c>
      <c r="AW14" s="142" t="s">
        <v>737</v>
      </c>
      <c r="AX14" s="143" t="s">
        <v>738</v>
      </c>
      <c r="AY14" s="118"/>
      <c r="AZ14" s="144">
        <v>3</v>
      </c>
      <c r="BA14" s="144">
        <v>372624</v>
      </c>
      <c r="BB14" s="145">
        <v>915.6</v>
      </c>
      <c r="BC14" s="131" t="s">
        <v>737</v>
      </c>
      <c r="BD14" s="132" t="s">
        <v>738</v>
      </c>
      <c r="BE14" s="100"/>
      <c r="BF14" s="133">
        <v>3</v>
      </c>
      <c r="BG14" s="133">
        <v>494592</v>
      </c>
      <c r="BH14" s="134">
        <v>1658.93</v>
      </c>
      <c r="BI14" s="131" t="s">
        <v>737</v>
      </c>
      <c r="BJ14" s="132" t="s">
        <v>738</v>
      </c>
      <c r="BK14" s="100"/>
      <c r="BL14" s="133">
        <v>3</v>
      </c>
      <c r="BM14" s="133">
        <v>647232</v>
      </c>
      <c r="BN14" s="134">
        <v>1748.14</v>
      </c>
      <c r="BO14" s="131" t="s">
        <v>737</v>
      </c>
      <c r="BP14" s="132" t="s">
        <v>738</v>
      </c>
      <c r="BQ14" s="100"/>
      <c r="BR14" s="133">
        <v>3</v>
      </c>
      <c r="BS14" s="133">
        <v>855456</v>
      </c>
      <c r="BT14" s="134">
        <v>1946.21</v>
      </c>
    </row>
    <row r="15" spans="1:72">
      <c r="A15" s="103" t="s">
        <v>739</v>
      </c>
      <c r="B15" s="100"/>
      <c r="C15" s="100"/>
      <c r="D15" s="101">
        <v>243</v>
      </c>
      <c r="E15" s="101">
        <v>12603702</v>
      </c>
      <c r="F15" s="102">
        <v>27469.66</v>
      </c>
      <c r="G15" s="103" t="s">
        <v>739</v>
      </c>
      <c r="H15" s="100"/>
      <c r="I15" s="100"/>
      <c r="J15" s="101">
        <v>245</v>
      </c>
      <c r="K15" s="101">
        <v>10534876</v>
      </c>
      <c r="L15" s="102">
        <v>28261.42</v>
      </c>
      <c r="M15" s="121" t="s">
        <v>739</v>
      </c>
      <c r="N15" s="118"/>
      <c r="O15" s="118"/>
      <c r="P15" s="119">
        <v>246</v>
      </c>
      <c r="Q15" s="119">
        <v>12610472</v>
      </c>
      <c r="R15" s="120">
        <v>28493.23</v>
      </c>
      <c r="S15" s="121" t="s">
        <v>739</v>
      </c>
      <c r="T15" s="118"/>
      <c r="U15" s="118"/>
      <c r="V15" s="119">
        <v>244</v>
      </c>
      <c r="W15" s="119">
        <v>12251605</v>
      </c>
      <c r="X15" s="120">
        <v>29898.84</v>
      </c>
      <c r="Y15" s="121" t="s">
        <v>739</v>
      </c>
      <c r="Z15" s="118"/>
      <c r="AA15" s="118"/>
      <c r="AB15" s="119">
        <v>245</v>
      </c>
      <c r="AC15" s="119">
        <v>12197646</v>
      </c>
      <c r="AD15" s="120">
        <v>30553.18</v>
      </c>
      <c r="AE15" s="103" t="s">
        <v>739</v>
      </c>
      <c r="AF15" s="100"/>
      <c r="AG15" s="100"/>
      <c r="AH15" s="101">
        <v>244</v>
      </c>
      <c r="AI15" s="101">
        <v>12844646</v>
      </c>
      <c r="AJ15" s="102">
        <v>29121.22</v>
      </c>
      <c r="AK15" s="135" t="s">
        <v>739</v>
      </c>
      <c r="AL15" s="100"/>
      <c r="AM15" s="100"/>
      <c r="AN15" s="133">
        <v>244</v>
      </c>
      <c r="AO15" s="133">
        <v>13848488</v>
      </c>
      <c r="AP15" s="134">
        <v>30438.27</v>
      </c>
      <c r="AQ15" s="135" t="s">
        <v>739</v>
      </c>
      <c r="AR15" s="100"/>
      <c r="AS15" s="100"/>
      <c r="AT15" s="133">
        <v>244</v>
      </c>
      <c r="AU15" s="133">
        <v>14007359</v>
      </c>
      <c r="AV15" s="134">
        <v>29761.45</v>
      </c>
      <c r="AW15" s="146" t="s">
        <v>739</v>
      </c>
      <c r="AX15" s="118"/>
      <c r="AY15" s="118"/>
      <c r="AZ15" s="144">
        <v>243</v>
      </c>
      <c r="BA15" s="144">
        <v>13114140</v>
      </c>
      <c r="BB15" s="145">
        <v>29467.7</v>
      </c>
      <c r="BC15" s="135" t="s">
        <v>739</v>
      </c>
      <c r="BD15" s="100"/>
      <c r="BE15" s="100"/>
      <c r="BF15" s="133">
        <v>244</v>
      </c>
      <c r="BG15" s="133">
        <v>11985070</v>
      </c>
      <c r="BH15" s="134">
        <v>27448.18</v>
      </c>
      <c r="BI15" s="135" t="s">
        <v>739</v>
      </c>
      <c r="BJ15" s="100"/>
      <c r="BK15" s="100"/>
      <c r="BL15" s="133">
        <v>244</v>
      </c>
      <c r="BM15" s="133">
        <v>10195123</v>
      </c>
      <c r="BN15" s="134">
        <v>27326.35</v>
      </c>
      <c r="BO15" s="135" t="s">
        <v>739</v>
      </c>
      <c r="BP15" s="100"/>
      <c r="BQ15" s="100"/>
      <c r="BR15" s="133">
        <v>243</v>
      </c>
      <c r="BS15" s="133">
        <v>11535830</v>
      </c>
      <c r="BT15" s="134">
        <v>27894.3</v>
      </c>
    </row>
    <row r="16" spans="1:72">
      <c r="A16" s="104"/>
      <c r="B16" s="100"/>
      <c r="C16" s="100"/>
      <c r="D16" s="100"/>
      <c r="E16" s="106"/>
      <c r="F16" s="105"/>
      <c r="G16" s="104"/>
      <c r="H16" s="100"/>
      <c r="I16" s="100"/>
      <c r="J16" s="100"/>
      <c r="K16" s="106"/>
      <c r="L16" s="105"/>
      <c r="M16" s="122"/>
      <c r="N16" s="118"/>
      <c r="O16" s="118"/>
      <c r="P16" s="118"/>
      <c r="Q16" s="106"/>
      <c r="R16" s="123"/>
      <c r="S16" s="122"/>
      <c r="T16" s="118"/>
      <c r="U16" s="118"/>
      <c r="V16" s="118"/>
      <c r="W16" s="106"/>
      <c r="X16" s="123"/>
      <c r="Y16" s="122"/>
      <c r="Z16" s="118"/>
      <c r="AA16" s="118"/>
      <c r="AB16" s="118"/>
      <c r="AC16" s="106"/>
      <c r="AD16" s="123"/>
      <c r="AE16" s="104"/>
      <c r="AF16" s="100"/>
      <c r="AG16" s="100"/>
      <c r="AH16" s="100"/>
      <c r="AI16" s="106"/>
      <c r="AJ16" s="105"/>
      <c r="AK16" s="104"/>
      <c r="AL16" s="100"/>
      <c r="AM16" s="100"/>
      <c r="AN16" s="100"/>
      <c r="AO16" s="100"/>
      <c r="AP16" s="105"/>
      <c r="AQ16" s="104"/>
      <c r="AR16" s="100"/>
      <c r="AS16" s="100"/>
      <c r="AT16" s="100"/>
      <c r="AU16" s="100"/>
      <c r="AV16" s="105"/>
      <c r="AW16" s="122"/>
      <c r="AX16" s="118"/>
      <c r="AY16" s="118"/>
      <c r="AZ16" s="118"/>
      <c r="BA16" s="118"/>
      <c r="BB16" s="123"/>
      <c r="BC16" s="104"/>
      <c r="BD16" s="100"/>
      <c r="BE16" s="100"/>
      <c r="BF16" s="100"/>
      <c r="BG16" s="100"/>
      <c r="BH16" s="105"/>
      <c r="BI16" s="104"/>
      <c r="BJ16" s="100"/>
      <c r="BK16" s="100"/>
      <c r="BL16" s="100"/>
      <c r="BM16" s="100"/>
      <c r="BN16" s="105"/>
      <c r="BO16" s="104"/>
      <c r="BP16" s="100"/>
      <c r="BQ16" s="100"/>
      <c r="BR16" s="100"/>
      <c r="BS16" s="100"/>
      <c r="BT16" s="105"/>
    </row>
    <row r="17" spans="1:72">
      <c r="A17" s="98" t="s">
        <v>740</v>
      </c>
      <c r="B17" s="99" t="s">
        <v>741</v>
      </c>
      <c r="C17" s="100"/>
      <c r="D17" s="101">
        <v>4</v>
      </c>
      <c r="E17" s="101">
        <v>98040</v>
      </c>
      <c r="F17" s="102">
        <v>224.96</v>
      </c>
      <c r="G17" s="98" t="s">
        <v>740</v>
      </c>
      <c r="H17" s="99" t="s">
        <v>741</v>
      </c>
      <c r="I17" s="100"/>
      <c r="J17" s="101">
        <v>4</v>
      </c>
      <c r="K17" s="101">
        <v>79832</v>
      </c>
      <c r="L17" s="102">
        <v>279.59999999999997</v>
      </c>
      <c r="M17" s="116" t="s">
        <v>740</v>
      </c>
      <c r="N17" s="117" t="s">
        <v>741</v>
      </c>
      <c r="O17" s="118"/>
      <c r="P17" s="119">
        <v>4</v>
      </c>
      <c r="Q17" s="119">
        <v>95696</v>
      </c>
      <c r="R17" s="120">
        <v>260</v>
      </c>
      <c r="S17" s="116" t="s">
        <v>740</v>
      </c>
      <c r="T17" s="117" t="s">
        <v>741</v>
      </c>
      <c r="U17" s="118"/>
      <c r="V17" s="119">
        <v>4</v>
      </c>
      <c r="W17" s="119">
        <v>92376</v>
      </c>
      <c r="X17" s="120">
        <v>268.39999999999998</v>
      </c>
      <c r="Y17" s="116" t="s">
        <v>740</v>
      </c>
      <c r="Z17" s="117" t="s">
        <v>741</v>
      </c>
      <c r="AA17" s="118"/>
      <c r="AB17" s="119">
        <v>4</v>
      </c>
      <c r="AC17" s="119">
        <v>96504</v>
      </c>
      <c r="AD17" s="120">
        <v>262.64</v>
      </c>
      <c r="AE17" s="98" t="s">
        <v>740</v>
      </c>
      <c r="AF17" s="99" t="s">
        <v>741</v>
      </c>
      <c r="AG17" s="100"/>
      <c r="AH17" s="101">
        <v>4</v>
      </c>
      <c r="AI17" s="101">
        <v>89200</v>
      </c>
      <c r="AJ17" s="102">
        <v>214.16</v>
      </c>
      <c r="AK17" s="131" t="s">
        <v>740</v>
      </c>
      <c r="AL17" s="132" t="s">
        <v>741</v>
      </c>
      <c r="AM17" s="100"/>
      <c r="AN17" s="133">
        <v>4</v>
      </c>
      <c r="AO17" s="133">
        <v>98816</v>
      </c>
      <c r="AP17" s="134">
        <v>211.84</v>
      </c>
      <c r="AQ17" s="131" t="s">
        <v>740</v>
      </c>
      <c r="AR17" s="132" t="s">
        <v>741</v>
      </c>
      <c r="AS17" s="100"/>
      <c r="AT17" s="133">
        <v>4</v>
      </c>
      <c r="AU17" s="133">
        <v>93440</v>
      </c>
      <c r="AV17" s="134">
        <v>261.2</v>
      </c>
      <c r="AW17" s="142" t="s">
        <v>740</v>
      </c>
      <c r="AX17" s="143" t="s">
        <v>741</v>
      </c>
      <c r="AY17" s="118"/>
      <c r="AZ17" s="144">
        <v>4</v>
      </c>
      <c r="BA17" s="144">
        <v>110216</v>
      </c>
      <c r="BB17" s="145">
        <v>295.92</v>
      </c>
      <c r="BC17" s="131" t="s">
        <v>740</v>
      </c>
      <c r="BD17" s="132" t="s">
        <v>741</v>
      </c>
      <c r="BE17" s="100"/>
      <c r="BF17" s="133">
        <v>4</v>
      </c>
      <c r="BG17" s="133">
        <v>111864</v>
      </c>
      <c r="BH17" s="134">
        <v>300.39999999999998</v>
      </c>
      <c r="BI17" s="131" t="s">
        <v>740</v>
      </c>
      <c r="BJ17" s="132" t="s">
        <v>741</v>
      </c>
      <c r="BK17" s="100"/>
      <c r="BL17" s="133">
        <v>4</v>
      </c>
      <c r="BM17" s="133">
        <v>84880</v>
      </c>
      <c r="BN17" s="134">
        <v>301.27999999999997</v>
      </c>
      <c r="BO17" s="131" t="s">
        <v>740</v>
      </c>
      <c r="BP17" s="132" t="s">
        <v>741</v>
      </c>
      <c r="BQ17" s="100"/>
      <c r="BR17" s="133">
        <v>4</v>
      </c>
      <c r="BS17" s="133">
        <v>110312</v>
      </c>
      <c r="BT17" s="134">
        <v>325.27999999999997</v>
      </c>
    </row>
    <row r="18" spans="1:72">
      <c r="A18" s="98" t="s">
        <v>742</v>
      </c>
      <c r="B18" s="99" t="s">
        <v>743</v>
      </c>
      <c r="C18" s="100"/>
      <c r="D18" s="101">
        <v>2</v>
      </c>
      <c r="E18" s="101">
        <v>474528</v>
      </c>
      <c r="F18" s="102">
        <v>787.68</v>
      </c>
      <c r="G18" s="98" t="s">
        <v>742</v>
      </c>
      <c r="H18" s="99" t="s">
        <v>743</v>
      </c>
      <c r="I18" s="100"/>
      <c r="J18" s="101">
        <v>2</v>
      </c>
      <c r="K18" s="101">
        <v>399552</v>
      </c>
      <c r="L18" s="102">
        <v>800.64</v>
      </c>
      <c r="M18" s="116" t="s">
        <v>742</v>
      </c>
      <c r="N18" s="117" t="s">
        <v>743</v>
      </c>
      <c r="O18" s="118"/>
      <c r="P18" s="119">
        <v>2</v>
      </c>
      <c r="Q18" s="119">
        <v>443040</v>
      </c>
      <c r="R18" s="120">
        <v>849.6</v>
      </c>
      <c r="S18" s="116" t="s">
        <v>742</v>
      </c>
      <c r="T18" s="117" t="s">
        <v>743</v>
      </c>
      <c r="U18" s="118"/>
      <c r="V18" s="119">
        <v>2</v>
      </c>
      <c r="W18" s="119">
        <v>465792</v>
      </c>
      <c r="X18" s="120">
        <v>879.84</v>
      </c>
      <c r="Y18" s="116" t="s">
        <v>742</v>
      </c>
      <c r="Z18" s="117" t="s">
        <v>743</v>
      </c>
      <c r="AA18" s="118"/>
      <c r="AB18" s="119">
        <v>2</v>
      </c>
      <c r="AC18" s="119">
        <v>426432</v>
      </c>
      <c r="AD18" s="120">
        <v>973.92</v>
      </c>
      <c r="AE18" s="98" t="s">
        <v>742</v>
      </c>
      <c r="AF18" s="99" t="s">
        <v>743</v>
      </c>
      <c r="AG18" s="100"/>
      <c r="AH18" s="101">
        <v>2</v>
      </c>
      <c r="AI18" s="101">
        <v>450240</v>
      </c>
      <c r="AJ18" s="102">
        <v>1015.2</v>
      </c>
      <c r="AK18" s="131" t="s">
        <v>742</v>
      </c>
      <c r="AL18" s="132" t="s">
        <v>743</v>
      </c>
      <c r="AM18" s="100"/>
      <c r="AN18" s="133">
        <v>2</v>
      </c>
      <c r="AO18" s="133">
        <v>501792</v>
      </c>
      <c r="AP18" s="134">
        <v>1049.76</v>
      </c>
      <c r="AQ18" s="131" t="s">
        <v>742</v>
      </c>
      <c r="AR18" s="132" t="s">
        <v>743</v>
      </c>
      <c r="AS18" s="100"/>
      <c r="AT18" s="133">
        <v>2</v>
      </c>
      <c r="AU18" s="133">
        <v>455904</v>
      </c>
      <c r="AV18" s="134">
        <v>996.48</v>
      </c>
      <c r="AW18" s="142" t="s">
        <v>742</v>
      </c>
      <c r="AX18" s="143" t="s">
        <v>743</v>
      </c>
      <c r="AY18" s="118"/>
      <c r="AZ18" s="144">
        <v>2</v>
      </c>
      <c r="BA18" s="144">
        <v>474528</v>
      </c>
      <c r="BB18" s="145">
        <v>1036.32</v>
      </c>
      <c r="BC18" s="131" t="s">
        <v>742</v>
      </c>
      <c r="BD18" s="132" t="s">
        <v>743</v>
      </c>
      <c r="BE18" s="100"/>
      <c r="BF18" s="133">
        <v>2</v>
      </c>
      <c r="BG18" s="133">
        <v>419712</v>
      </c>
      <c r="BH18" s="134">
        <v>899.04</v>
      </c>
      <c r="BI18" s="131" t="s">
        <v>742</v>
      </c>
      <c r="BJ18" s="132" t="s">
        <v>743</v>
      </c>
      <c r="BK18" s="100"/>
      <c r="BL18" s="133">
        <v>2</v>
      </c>
      <c r="BM18" s="133">
        <v>371904</v>
      </c>
      <c r="BN18" s="134">
        <v>863.04</v>
      </c>
      <c r="BO18" s="131" t="s">
        <v>742</v>
      </c>
      <c r="BP18" s="132" t="s">
        <v>743</v>
      </c>
      <c r="BQ18" s="100"/>
      <c r="BR18" s="133">
        <v>2</v>
      </c>
      <c r="BS18" s="133">
        <v>396288</v>
      </c>
      <c r="BT18" s="134">
        <v>764.64</v>
      </c>
    </row>
    <row r="19" spans="1:72">
      <c r="A19" s="98" t="s">
        <v>744</v>
      </c>
      <c r="B19" s="99" t="s">
        <v>745</v>
      </c>
      <c r="C19" s="100"/>
      <c r="D19" s="101">
        <v>96</v>
      </c>
      <c r="E19" s="101">
        <v>1407231</v>
      </c>
      <c r="F19" s="102">
        <v>4423.8900000000003</v>
      </c>
      <c r="G19" s="98" t="s">
        <v>744</v>
      </c>
      <c r="H19" s="99" t="s">
        <v>745</v>
      </c>
      <c r="I19" s="100"/>
      <c r="J19" s="101">
        <v>95</v>
      </c>
      <c r="K19" s="101">
        <v>1339075</v>
      </c>
      <c r="L19" s="102">
        <v>4265.42</v>
      </c>
      <c r="M19" s="116" t="s">
        <v>744</v>
      </c>
      <c r="N19" s="117" t="s">
        <v>745</v>
      </c>
      <c r="O19" s="118"/>
      <c r="P19" s="119">
        <v>96</v>
      </c>
      <c r="Q19" s="119">
        <v>1356405</v>
      </c>
      <c r="R19" s="120">
        <v>4326.3599999999997</v>
      </c>
      <c r="S19" s="116" t="s">
        <v>744</v>
      </c>
      <c r="T19" s="117" t="s">
        <v>745</v>
      </c>
      <c r="U19" s="118"/>
      <c r="V19" s="119">
        <v>96</v>
      </c>
      <c r="W19" s="119">
        <v>1334485</v>
      </c>
      <c r="X19" s="120">
        <v>4150.97</v>
      </c>
      <c r="Y19" s="116" t="s">
        <v>744</v>
      </c>
      <c r="Z19" s="117" t="s">
        <v>745</v>
      </c>
      <c r="AA19" s="118"/>
      <c r="AB19" s="119">
        <v>96</v>
      </c>
      <c r="AC19" s="119">
        <v>1433009</v>
      </c>
      <c r="AD19" s="120">
        <v>4391.8999999999996</v>
      </c>
      <c r="AE19" s="98" t="s">
        <v>744</v>
      </c>
      <c r="AF19" s="99" t="s">
        <v>745</v>
      </c>
      <c r="AG19" s="100"/>
      <c r="AH19" s="101">
        <v>97</v>
      </c>
      <c r="AI19" s="101">
        <v>1412911</v>
      </c>
      <c r="AJ19" s="102">
        <v>4252.4799999999996</v>
      </c>
      <c r="AK19" s="131" t="s">
        <v>744</v>
      </c>
      <c r="AL19" s="132" t="s">
        <v>745</v>
      </c>
      <c r="AM19" s="100"/>
      <c r="AN19" s="133">
        <v>96</v>
      </c>
      <c r="AO19" s="133">
        <v>1777426</v>
      </c>
      <c r="AP19" s="134">
        <v>4515.57</v>
      </c>
      <c r="AQ19" s="131" t="s">
        <v>744</v>
      </c>
      <c r="AR19" s="132" t="s">
        <v>745</v>
      </c>
      <c r="AS19" s="100"/>
      <c r="AT19" s="133">
        <v>97</v>
      </c>
      <c r="AU19" s="133">
        <v>1596822</v>
      </c>
      <c r="AV19" s="134">
        <v>4556.29</v>
      </c>
      <c r="AW19" s="142" t="s">
        <v>744</v>
      </c>
      <c r="AX19" s="143" t="s">
        <v>745</v>
      </c>
      <c r="AY19" s="118"/>
      <c r="AZ19" s="144">
        <v>95</v>
      </c>
      <c r="BA19" s="144">
        <v>1557881</v>
      </c>
      <c r="BB19" s="145">
        <v>4389.2299999999996</v>
      </c>
      <c r="BC19" s="131" t="s">
        <v>744</v>
      </c>
      <c r="BD19" s="132" t="s">
        <v>745</v>
      </c>
      <c r="BE19" s="100"/>
      <c r="BF19" s="133">
        <v>92</v>
      </c>
      <c r="BG19" s="133">
        <v>1399307</v>
      </c>
      <c r="BH19" s="134">
        <v>4093.48</v>
      </c>
      <c r="BI19" s="131" t="s">
        <v>744</v>
      </c>
      <c r="BJ19" s="132" t="s">
        <v>745</v>
      </c>
      <c r="BK19" s="100"/>
      <c r="BL19" s="133">
        <v>92</v>
      </c>
      <c r="BM19" s="133">
        <v>1321076</v>
      </c>
      <c r="BN19" s="134">
        <v>4163.12</v>
      </c>
      <c r="BO19" s="131" t="s">
        <v>744</v>
      </c>
      <c r="BP19" s="132" t="s">
        <v>745</v>
      </c>
      <c r="BQ19" s="100"/>
      <c r="BR19" s="133">
        <v>93</v>
      </c>
      <c r="BS19" s="133">
        <v>1306530</v>
      </c>
      <c r="BT19" s="134">
        <v>4046.88</v>
      </c>
    </row>
    <row r="20" spans="1:72">
      <c r="A20" s="98" t="s">
        <v>746</v>
      </c>
      <c r="B20" s="99" t="s">
        <v>747</v>
      </c>
      <c r="C20" s="100"/>
      <c r="D20" s="101">
        <v>26</v>
      </c>
      <c r="E20" s="101">
        <v>2399183</v>
      </c>
      <c r="F20" s="102">
        <v>4851.9399999999996</v>
      </c>
      <c r="G20" s="98" t="s">
        <v>746</v>
      </c>
      <c r="H20" s="99" t="s">
        <v>747</v>
      </c>
      <c r="I20" s="100"/>
      <c r="J20" s="101">
        <v>26</v>
      </c>
      <c r="K20" s="101">
        <v>1848508</v>
      </c>
      <c r="L20" s="102">
        <v>4590.1499999999996</v>
      </c>
      <c r="M20" s="116" t="s">
        <v>746</v>
      </c>
      <c r="N20" s="117" t="s">
        <v>747</v>
      </c>
      <c r="O20" s="118"/>
      <c r="P20" s="119">
        <v>26</v>
      </c>
      <c r="Q20" s="119">
        <v>2092330</v>
      </c>
      <c r="R20" s="120">
        <v>4419.1499999999996</v>
      </c>
      <c r="S20" s="116" t="s">
        <v>746</v>
      </c>
      <c r="T20" s="117" t="s">
        <v>747</v>
      </c>
      <c r="U20" s="118"/>
      <c r="V20" s="119">
        <v>27</v>
      </c>
      <c r="W20" s="119">
        <v>1913287</v>
      </c>
      <c r="X20" s="120">
        <v>4348.2299999999996</v>
      </c>
      <c r="Y20" s="116" t="s">
        <v>746</v>
      </c>
      <c r="Z20" s="117" t="s">
        <v>747</v>
      </c>
      <c r="AA20" s="118"/>
      <c r="AB20" s="119">
        <v>28</v>
      </c>
      <c r="AC20" s="119">
        <v>1928979</v>
      </c>
      <c r="AD20" s="120">
        <v>4572.6899999999996</v>
      </c>
      <c r="AE20" s="98" t="s">
        <v>746</v>
      </c>
      <c r="AF20" s="99" t="s">
        <v>747</v>
      </c>
      <c r="AG20" s="100"/>
      <c r="AH20" s="101">
        <v>28</v>
      </c>
      <c r="AI20" s="101">
        <v>2146194</v>
      </c>
      <c r="AJ20" s="102">
        <v>4663.82</v>
      </c>
      <c r="AK20" s="131" t="s">
        <v>746</v>
      </c>
      <c r="AL20" s="132" t="s">
        <v>747</v>
      </c>
      <c r="AM20" s="100"/>
      <c r="AN20" s="133">
        <v>28</v>
      </c>
      <c r="AO20" s="133">
        <v>2122835</v>
      </c>
      <c r="AP20" s="134">
        <v>5168.79</v>
      </c>
      <c r="AQ20" s="131" t="s">
        <v>746</v>
      </c>
      <c r="AR20" s="132" t="s">
        <v>747</v>
      </c>
      <c r="AS20" s="100"/>
      <c r="AT20" s="133">
        <v>28</v>
      </c>
      <c r="AU20" s="133">
        <v>2232646</v>
      </c>
      <c r="AV20" s="134">
        <v>4911.84</v>
      </c>
      <c r="AW20" s="142" t="s">
        <v>746</v>
      </c>
      <c r="AX20" s="143" t="s">
        <v>747</v>
      </c>
      <c r="AY20" s="118"/>
      <c r="AZ20" s="144">
        <v>28</v>
      </c>
      <c r="BA20" s="144">
        <v>2080963</v>
      </c>
      <c r="BB20" s="145">
        <v>4725.75</v>
      </c>
      <c r="BC20" s="131" t="s">
        <v>746</v>
      </c>
      <c r="BD20" s="132" t="s">
        <v>747</v>
      </c>
      <c r="BE20" s="100"/>
      <c r="BF20" s="133">
        <v>29</v>
      </c>
      <c r="BG20" s="133">
        <v>1867744</v>
      </c>
      <c r="BH20" s="134">
        <v>4317.6099999999997</v>
      </c>
      <c r="BI20" s="131" t="s">
        <v>746</v>
      </c>
      <c r="BJ20" s="132" t="s">
        <v>747</v>
      </c>
      <c r="BK20" s="100"/>
      <c r="BL20" s="133">
        <v>30</v>
      </c>
      <c r="BM20" s="133">
        <v>1899669</v>
      </c>
      <c r="BN20" s="134">
        <v>4761.3500000000004</v>
      </c>
      <c r="BO20" s="131" t="s">
        <v>746</v>
      </c>
      <c r="BP20" s="132" t="s">
        <v>747</v>
      </c>
      <c r="BQ20" s="100"/>
      <c r="BR20" s="133">
        <v>30</v>
      </c>
      <c r="BS20" s="133">
        <v>2250795</v>
      </c>
      <c r="BT20" s="134">
        <v>4844.6899999999996</v>
      </c>
    </row>
    <row r="21" spans="1:72">
      <c r="A21" s="98" t="s">
        <v>748</v>
      </c>
      <c r="B21" s="99" t="s">
        <v>749</v>
      </c>
      <c r="C21" s="100"/>
      <c r="D21" s="101">
        <v>567</v>
      </c>
      <c r="E21" s="101">
        <v>990296</v>
      </c>
      <c r="F21" s="102">
        <v>2734.54</v>
      </c>
      <c r="G21" s="98" t="s">
        <v>748</v>
      </c>
      <c r="H21" s="99" t="s">
        <v>749</v>
      </c>
      <c r="I21" s="100"/>
      <c r="J21" s="101">
        <v>562</v>
      </c>
      <c r="K21" s="101">
        <v>964772</v>
      </c>
      <c r="L21" s="102">
        <v>2742.5</v>
      </c>
      <c r="M21" s="116" t="s">
        <v>748</v>
      </c>
      <c r="N21" s="117" t="s">
        <v>749</v>
      </c>
      <c r="O21" s="118"/>
      <c r="P21" s="119">
        <v>564</v>
      </c>
      <c r="Q21" s="119">
        <v>935525</v>
      </c>
      <c r="R21" s="120">
        <v>2765.16</v>
      </c>
      <c r="S21" s="116" t="s">
        <v>748</v>
      </c>
      <c r="T21" s="117" t="s">
        <v>749</v>
      </c>
      <c r="U21" s="118"/>
      <c r="V21" s="119">
        <v>565</v>
      </c>
      <c r="W21" s="119">
        <v>870135</v>
      </c>
      <c r="X21" s="120">
        <v>2634.69</v>
      </c>
      <c r="Y21" s="116" t="s">
        <v>748</v>
      </c>
      <c r="Z21" s="117" t="s">
        <v>749</v>
      </c>
      <c r="AA21" s="118"/>
      <c r="AB21" s="119">
        <v>560</v>
      </c>
      <c r="AC21" s="119">
        <v>939448</v>
      </c>
      <c r="AD21" s="120">
        <v>2787.2</v>
      </c>
      <c r="AE21" s="98" t="s">
        <v>748</v>
      </c>
      <c r="AF21" s="99" t="s">
        <v>749</v>
      </c>
      <c r="AG21" s="100"/>
      <c r="AH21" s="101">
        <v>562</v>
      </c>
      <c r="AI21" s="101">
        <v>935200</v>
      </c>
      <c r="AJ21" s="102">
        <v>2642.75</v>
      </c>
      <c r="AK21" s="131" t="s">
        <v>748</v>
      </c>
      <c r="AL21" s="132" t="s">
        <v>749</v>
      </c>
      <c r="AM21" s="100"/>
      <c r="AN21" s="133">
        <v>561</v>
      </c>
      <c r="AO21" s="133">
        <v>1154357</v>
      </c>
      <c r="AP21" s="134">
        <v>2775.27</v>
      </c>
      <c r="AQ21" s="131" t="s">
        <v>748</v>
      </c>
      <c r="AR21" s="132" t="s">
        <v>749</v>
      </c>
      <c r="AS21" s="100"/>
      <c r="AT21" s="133">
        <v>564</v>
      </c>
      <c r="AU21" s="133">
        <v>1138179</v>
      </c>
      <c r="AV21" s="134">
        <v>2870.49</v>
      </c>
      <c r="AW21" s="142" t="s">
        <v>748</v>
      </c>
      <c r="AX21" s="143" t="s">
        <v>749</v>
      </c>
      <c r="AY21" s="118"/>
      <c r="AZ21" s="144">
        <v>565</v>
      </c>
      <c r="BA21" s="144">
        <v>1120925</v>
      </c>
      <c r="BB21" s="145">
        <v>3098.55</v>
      </c>
      <c r="BC21" s="131" t="s">
        <v>748</v>
      </c>
      <c r="BD21" s="132" t="s">
        <v>749</v>
      </c>
      <c r="BE21" s="100"/>
      <c r="BF21" s="133">
        <v>560</v>
      </c>
      <c r="BG21" s="133">
        <v>981697</v>
      </c>
      <c r="BH21" s="134">
        <v>2902.39</v>
      </c>
      <c r="BI21" s="131" t="s">
        <v>748</v>
      </c>
      <c r="BJ21" s="132" t="s">
        <v>749</v>
      </c>
      <c r="BK21" s="100"/>
      <c r="BL21" s="133">
        <v>565</v>
      </c>
      <c r="BM21" s="133">
        <v>1016119</v>
      </c>
      <c r="BN21" s="134">
        <v>3448.29</v>
      </c>
      <c r="BO21" s="131" t="s">
        <v>748</v>
      </c>
      <c r="BP21" s="132" t="s">
        <v>749</v>
      </c>
      <c r="BQ21" s="100"/>
      <c r="BR21" s="133">
        <v>563</v>
      </c>
      <c r="BS21" s="133">
        <v>1130650</v>
      </c>
      <c r="BT21" s="134">
        <v>3473.88</v>
      </c>
    </row>
    <row r="22" spans="1:72">
      <c r="A22" s="98" t="s">
        <v>750</v>
      </c>
      <c r="B22" s="99" t="s">
        <v>751</v>
      </c>
      <c r="C22" s="100"/>
      <c r="D22" s="101">
        <v>53</v>
      </c>
      <c r="E22" s="101">
        <v>10467</v>
      </c>
      <c r="F22" s="102">
        <v>0</v>
      </c>
      <c r="G22" s="98" t="s">
        <v>750</v>
      </c>
      <c r="H22" s="99" t="s">
        <v>751</v>
      </c>
      <c r="I22" s="100"/>
      <c r="J22" s="101">
        <v>52</v>
      </c>
      <c r="K22" s="101">
        <v>10346</v>
      </c>
      <c r="L22" s="102">
        <v>0</v>
      </c>
      <c r="M22" s="116" t="s">
        <v>750</v>
      </c>
      <c r="N22" s="117" t="s">
        <v>751</v>
      </c>
      <c r="O22" s="118"/>
      <c r="P22" s="119">
        <v>52</v>
      </c>
      <c r="Q22" s="119">
        <v>10372</v>
      </c>
      <c r="R22" s="120">
        <v>0</v>
      </c>
      <c r="S22" s="116" t="s">
        <v>750</v>
      </c>
      <c r="T22" s="117" t="s">
        <v>751</v>
      </c>
      <c r="U22" s="118"/>
      <c r="V22" s="119">
        <v>52</v>
      </c>
      <c r="W22" s="119">
        <v>10354</v>
      </c>
      <c r="X22" s="120">
        <v>0</v>
      </c>
      <c r="Y22" s="116" t="s">
        <v>750</v>
      </c>
      <c r="Z22" s="117" t="s">
        <v>751</v>
      </c>
      <c r="AA22" s="118"/>
      <c r="AB22" s="119">
        <v>52</v>
      </c>
      <c r="AC22" s="119">
        <v>10324</v>
      </c>
      <c r="AD22" s="120">
        <v>0</v>
      </c>
      <c r="AE22" s="98" t="s">
        <v>750</v>
      </c>
      <c r="AF22" s="99" t="s">
        <v>751</v>
      </c>
      <c r="AG22" s="100"/>
      <c r="AH22" s="101">
        <v>52</v>
      </c>
      <c r="AI22" s="101">
        <v>10338</v>
      </c>
      <c r="AJ22" s="102">
        <v>0</v>
      </c>
      <c r="AK22" s="131" t="s">
        <v>750</v>
      </c>
      <c r="AL22" s="132" t="s">
        <v>751</v>
      </c>
      <c r="AM22" s="100"/>
      <c r="AN22" s="133">
        <v>54</v>
      </c>
      <c r="AO22" s="133">
        <v>10304</v>
      </c>
      <c r="AP22" s="134">
        <v>0</v>
      </c>
      <c r="AQ22" s="131" t="s">
        <v>750</v>
      </c>
      <c r="AR22" s="132" t="s">
        <v>751</v>
      </c>
      <c r="AS22" s="100"/>
      <c r="AT22" s="133">
        <v>54</v>
      </c>
      <c r="AU22" s="133">
        <v>10231</v>
      </c>
      <c r="AV22" s="134">
        <v>0</v>
      </c>
      <c r="AW22" s="142" t="s">
        <v>750</v>
      </c>
      <c r="AX22" s="143" t="s">
        <v>751</v>
      </c>
      <c r="AY22" s="118"/>
      <c r="AZ22" s="144">
        <v>54</v>
      </c>
      <c r="BA22" s="144">
        <v>10286</v>
      </c>
      <c r="BB22" s="145">
        <v>0</v>
      </c>
      <c r="BC22" s="131" t="s">
        <v>750</v>
      </c>
      <c r="BD22" s="132" t="s">
        <v>751</v>
      </c>
      <c r="BE22" s="100"/>
      <c r="BF22" s="133">
        <v>54</v>
      </c>
      <c r="BG22" s="133">
        <v>10627</v>
      </c>
      <c r="BH22" s="134">
        <v>0</v>
      </c>
      <c r="BI22" s="131" t="s">
        <v>750</v>
      </c>
      <c r="BJ22" s="132" t="s">
        <v>751</v>
      </c>
      <c r="BK22" s="100"/>
      <c r="BL22" s="133">
        <v>54</v>
      </c>
      <c r="BM22" s="133">
        <v>10632</v>
      </c>
      <c r="BN22" s="134">
        <v>0</v>
      </c>
      <c r="BO22" s="131" t="s">
        <v>750</v>
      </c>
      <c r="BP22" s="132" t="s">
        <v>751</v>
      </c>
      <c r="BQ22" s="100"/>
      <c r="BR22" s="133">
        <v>54</v>
      </c>
      <c r="BS22" s="133">
        <v>10667</v>
      </c>
      <c r="BT22" s="134">
        <v>0</v>
      </c>
    </row>
    <row r="23" spans="1:72">
      <c r="A23" s="98" t="s">
        <v>752</v>
      </c>
      <c r="B23" s="99" t="s">
        <v>753</v>
      </c>
      <c r="C23" s="100"/>
      <c r="D23" s="101">
        <v>5</v>
      </c>
      <c r="E23" s="101">
        <v>1022340</v>
      </c>
      <c r="F23" s="102">
        <v>2234.7600000000002</v>
      </c>
      <c r="G23" s="98" t="s">
        <v>752</v>
      </c>
      <c r="H23" s="99" t="s">
        <v>753</v>
      </c>
      <c r="I23" s="100"/>
      <c r="J23" s="101">
        <v>5</v>
      </c>
      <c r="K23" s="101">
        <v>1060720</v>
      </c>
      <c r="L23" s="102">
        <v>2257.6</v>
      </c>
      <c r="M23" s="116" t="s">
        <v>752</v>
      </c>
      <c r="N23" s="117" t="s">
        <v>753</v>
      </c>
      <c r="O23" s="118"/>
      <c r="P23" s="119">
        <v>5</v>
      </c>
      <c r="Q23" s="119">
        <v>1178960</v>
      </c>
      <c r="R23" s="120">
        <v>2336.96</v>
      </c>
      <c r="S23" s="116" t="s">
        <v>752</v>
      </c>
      <c r="T23" s="117" t="s">
        <v>753</v>
      </c>
      <c r="U23" s="118"/>
      <c r="V23" s="119">
        <v>5</v>
      </c>
      <c r="W23" s="119">
        <v>1118580</v>
      </c>
      <c r="X23" s="120">
        <v>2267.88</v>
      </c>
      <c r="Y23" s="116" t="s">
        <v>752</v>
      </c>
      <c r="Z23" s="117" t="s">
        <v>753</v>
      </c>
      <c r="AA23" s="118"/>
      <c r="AB23" s="119">
        <v>5</v>
      </c>
      <c r="AC23" s="119">
        <v>1158880</v>
      </c>
      <c r="AD23" s="120">
        <v>2362.2200000000003</v>
      </c>
      <c r="AE23" s="98" t="s">
        <v>752</v>
      </c>
      <c r="AF23" s="99" t="s">
        <v>753</v>
      </c>
      <c r="AG23" s="100"/>
      <c r="AH23" s="101">
        <v>5</v>
      </c>
      <c r="AI23" s="101">
        <v>1104040</v>
      </c>
      <c r="AJ23" s="102">
        <v>2363.48</v>
      </c>
      <c r="AK23" s="131" t="s">
        <v>752</v>
      </c>
      <c r="AL23" s="132" t="s">
        <v>753</v>
      </c>
      <c r="AM23" s="100"/>
      <c r="AN23" s="133">
        <v>5</v>
      </c>
      <c r="AO23" s="133">
        <v>1366120</v>
      </c>
      <c r="AP23" s="134">
        <v>2474.7199999999998</v>
      </c>
      <c r="AQ23" s="131" t="s">
        <v>752</v>
      </c>
      <c r="AR23" s="132" t="s">
        <v>753</v>
      </c>
      <c r="AS23" s="100"/>
      <c r="AT23" s="133">
        <v>5</v>
      </c>
      <c r="AU23" s="133">
        <v>1177440</v>
      </c>
      <c r="AV23" s="134">
        <v>2549.66</v>
      </c>
      <c r="AW23" s="142" t="s">
        <v>752</v>
      </c>
      <c r="AX23" s="143" t="s">
        <v>753</v>
      </c>
      <c r="AY23" s="118"/>
      <c r="AZ23" s="144">
        <v>5</v>
      </c>
      <c r="BA23" s="144">
        <v>1159260</v>
      </c>
      <c r="BB23" s="145">
        <v>2436.4</v>
      </c>
      <c r="BC23" s="131" t="s">
        <v>752</v>
      </c>
      <c r="BD23" s="132" t="s">
        <v>753</v>
      </c>
      <c r="BE23" s="100"/>
      <c r="BF23" s="133">
        <v>5</v>
      </c>
      <c r="BG23" s="133">
        <v>1162260</v>
      </c>
      <c r="BH23" s="134">
        <v>2399.3200000000002</v>
      </c>
      <c r="BI23" s="131" t="s">
        <v>752</v>
      </c>
      <c r="BJ23" s="132" t="s">
        <v>753</v>
      </c>
      <c r="BK23" s="100"/>
      <c r="BL23" s="133">
        <v>5</v>
      </c>
      <c r="BM23" s="133">
        <v>1139080</v>
      </c>
      <c r="BN23" s="134">
        <v>2199.7400000000002</v>
      </c>
      <c r="BO23" s="131" t="s">
        <v>752</v>
      </c>
      <c r="BP23" s="132" t="s">
        <v>753</v>
      </c>
      <c r="BQ23" s="100"/>
      <c r="BR23" s="133">
        <v>5</v>
      </c>
      <c r="BS23" s="133">
        <v>1120960</v>
      </c>
      <c r="BT23" s="134">
        <v>2201.7399999999998</v>
      </c>
    </row>
    <row r="24" spans="1:72">
      <c r="A24" s="98" t="s">
        <v>754</v>
      </c>
      <c r="B24" s="99" t="s">
        <v>755</v>
      </c>
      <c r="C24" s="100"/>
      <c r="D24" s="101">
        <v>57</v>
      </c>
      <c r="E24" s="101">
        <v>250867</v>
      </c>
      <c r="F24" s="102">
        <v>480.54</v>
      </c>
      <c r="G24" s="98" t="s">
        <v>754</v>
      </c>
      <c r="H24" s="99" t="s">
        <v>755</v>
      </c>
      <c r="I24" s="100"/>
      <c r="J24" s="101">
        <v>57</v>
      </c>
      <c r="K24" s="101">
        <v>225608</v>
      </c>
      <c r="L24" s="102">
        <v>465.52</v>
      </c>
      <c r="M24" s="116" t="s">
        <v>754</v>
      </c>
      <c r="N24" s="117" t="s">
        <v>755</v>
      </c>
      <c r="O24" s="118"/>
      <c r="P24" s="119">
        <v>57</v>
      </c>
      <c r="Q24" s="119">
        <v>232977</v>
      </c>
      <c r="R24" s="120">
        <v>476.08</v>
      </c>
      <c r="S24" s="116" t="s">
        <v>754</v>
      </c>
      <c r="T24" s="117" t="s">
        <v>755</v>
      </c>
      <c r="U24" s="118"/>
      <c r="V24" s="119">
        <v>57</v>
      </c>
      <c r="W24" s="119">
        <v>219822</v>
      </c>
      <c r="X24" s="120">
        <v>474.89</v>
      </c>
      <c r="Y24" s="116" t="s">
        <v>754</v>
      </c>
      <c r="Z24" s="117" t="s">
        <v>755</v>
      </c>
      <c r="AA24" s="118"/>
      <c r="AB24" s="119">
        <v>57</v>
      </c>
      <c r="AC24" s="119">
        <v>227426</v>
      </c>
      <c r="AD24" s="120">
        <v>524.04999999999995</v>
      </c>
      <c r="AE24" s="98" t="s">
        <v>754</v>
      </c>
      <c r="AF24" s="99" t="s">
        <v>755</v>
      </c>
      <c r="AG24" s="100"/>
      <c r="AH24" s="101">
        <v>58</v>
      </c>
      <c r="AI24" s="101">
        <v>229623</v>
      </c>
      <c r="AJ24" s="102">
        <v>521.5</v>
      </c>
      <c r="AK24" s="131" t="s">
        <v>754</v>
      </c>
      <c r="AL24" s="132" t="s">
        <v>755</v>
      </c>
      <c r="AM24" s="100"/>
      <c r="AN24" s="133">
        <v>57</v>
      </c>
      <c r="AO24" s="133">
        <v>280143</v>
      </c>
      <c r="AP24" s="134">
        <v>547.1</v>
      </c>
      <c r="AQ24" s="131" t="s">
        <v>754</v>
      </c>
      <c r="AR24" s="132" t="s">
        <v>755</v>
      </c>
      <c r="AS24" s="100"/>
      <c r="AT24" s="133">
        <v>57</v>
      </c>
      <c r="AU24" s="133">
        <v>283978</v>
      </c>
      <c r="AV24" s="134">
        <v>570.78</v>
      </c>
      <c r="AW24" s="142" t="s">
        <v>754</v>
      </c>
      <c r="AX24" s="143" t="s">
        <v>755</v>
      </c>
      <c r="AY24" s="118"/>
      <c r="AZ24" s="144">
        <v>56</v>
      </c>
      <c r="BA24" s="144">
        <v>238749</v>
      </c>
      <c r="BB24" s="145">
        <v>531.72</v>
      </c>
      <c r="BC24" s="131" t="s">
        <v>754</v>
      </c>
      <c r="BD24" s="132" t="s">
        <v>755</v>
      </c>
      <c r="BE24" s="100"/>
      <c r="BF24" s="133">
        <v>56</v>
      </c>
      <c r="BG24" s="133">
        <v>227303</v>
      </c>
      <c r="BH24" s="134">
        <v>482.69</v>
      </c>
      <c r="BI24" s="131" t="s">
        <v>754</v>
      </c>
      <c r="BJ24" s="132" t="s">
        <v>755</v>
      </c>
      <c r="BK24" s="100"/>
      <c r="BL24" s="133">
        <v>56</v>
      </c>
      <c r="BM24" s="133">
        <v>227454</v>
      </c>
      <c r="BN24" s="134">
        <v>485.95</v>
      </c>
      <c r="BO24" s="131" t="s">
        <v>754</v>
      </c>
      <c r="BP24" s="132" t="s">
        <v>755</v>
      </c>
      <c r="BQ24" s="100"/>
      <c r="BR24" s="133">
        <v>56</v>
      </c>
      <c r="BS24" s="133">
        <v>237789</v>
      </c>
      <c r="BT24" s="134">
        <v>483.12</v>
      </c>
    </row>
    <row r="25" spans="1:72">
      <c r="A25" s="98" t="s">
        <v>756</v>
      </c>
      <c r="B25" s="99" t="s">
        <v>757</v>
      </c>
      <c r="C25" s="100"/>
      <c r="D25" s="101">
        <v>10</v>
      </c>
      <c r="E25" s="101">
        <v>26683</v>
      </c>
      <c r="F25" s="102">
        <v>118.08</v>
      </c>
      <c r="G25" s="98" t="s">
        <v>756</v>
      </c>
      <c r="H25" s="99" t="s">
        <v>757</v>
      </c>
      <c r="I25" s="100"/>
      <c r="J25" s="101">
        <v>10</v>
      </c>
      <c r="K25" s="101">
        <v>28416</v>
      </c>
      <c r="L25" s="102">
        <v>122.08</v>
      </c>
      <c r="M25" s="116" t="s">
        <v>756</v>
      </c>
      <c r="N25" s="117" t="s">
        <v>757</v>
      </c>
      <c r="O25" s="118"/>
      <c r="P25" s="119">
        <v>10</v>
      </c>
      <c r="Q25" s="119">
        <v>24268</v>
      </c>
      <c r="R25" s="120">
        <v>125.04</v>
      </c>
      <c r="S25" s="116" t="s">
        <v>756</v>
      </c>
      <c r="T25" s="117" t="s">
        <v>757</v>
      </c>
      <c r="U25" s="118"/>
      <c r="V25" s="119">
        <v>10</v>
      </c>
      <c r="W25" s="119">
        <v>20438</v>
      </c>
      <c r="X25" s="120">
        <v>111.67</v>
      </c>
      <c r="Y25" s="116" t="s">
        <v>756</v>
      </c>
      <c r="Z25" s="117" t="s">
        <v>757</v>
      </c>
      <c r="AA25" s="118"/>
      <c r="AB25" s="119">
        <v>10</v>
      </c>
      <c r="AC25" s="119">
        <v>21074</v>
      </c>
      <c r="AD25" s="120">
        <v>125.42</v>
      </c>
      <c r="AE25" s="98" t="s">
        <v>756</v>
      </c>
      <c r="AF25" s="99" t="s">
        <v>757</v>
      </c>
      <c r="AG25" s="100"/>
      <c r="AH25" s="101">
        <v>10</v>
      </c>
      <c r="AI25" s="101">
        <v>17362</v>
      </c>
      <c r="AJ25" s="102">
        <v>121.01</v>
      </c>
      <c r="AK25" s="131" t="s">
        <v>756</v>
      </c>
      <c r="AL25" s="132" t="s">
        <v>757</v>
      </c>
      <c r="AM25" s="100"/>
      <c r="AN25" s="133">
        <v>10</v>
      </c>
      <c r="AO25" s="133">
        <v>26188</v>
      </c>
      <c r="AP25" s="134">
        <v>118.15</v>
      </c>
      <c r="AQ25" s="131" t="s">
        <v>756</v>
      </c>
      <c r="AR25" s="132" t="s">
        <v>757</v>
      </c>
      <c r="AS25" s="100"/>
      <c r="AT25" s="133">
        <v>10</v>
      </c>
      <c r="AU25" s="133">
        <v>17898</v>
      </c>
      <c r="AV25" s="134">
        <v>112.89</v>
      </c>
      <c r="AW25" s="142" t="s">
        <v>756</v>
      </c>
      <c r="AX25" s="143" t="s">
        <v>757</v>
      </c>
      <c r="AY25" s="118"/>
      <c r="AZ25" s="144">
        <v>10</v>
      </c>
      <c r="BA25" s="144">
        <v>18767</v>
      </c>
      <c r="BB25" s="145">
        <v>113.17</v>
      </c>
      <c r="BC25" s="131" t="s">
        <v>756</v>
      </c>
      <c r="BD25" s="132" t="s">
        <v>757</v>
      </c>
      <c r="BE25" s="100"/>
      <c r="BF25" s="133">
        <v>10</v>
      </c>
      <c r="BG25" s="133">
        <v>20462</v>
      </c>
      <c r="BH25" s="134">
        <v>112.28</v>
      </c>
      <c r="BI25" s="131" t="s">
        <v>756</v>
      </c>
      <c r="BJ25" s="132" t="s">
        <v>757</v>
      </c>
      <c r="BK25" s="100"/>
      <c r="BL25" s="133">
        <v>10</v>
      </c>
      <c r="BM25" s="133">
        <v>20418</v>
      </c>
      <c r="BN25" s="134">
        <v>123.14</v>
      </c>
      <c r="BO25" s="131" t="s">
        <v>756</v>
      </c>
      <c r="BP25" s="132" t="s">
        <v>757</v>
      </c>
      <c r="BQ25" s="100"/>
      <c r="BR25" s="133">
        <v>10</v>
      </c>
      <c r="BS25" s="133">
        <v>21987</v>
      </c>
      <c r="BT25" s="134">
        <v>102.07</v>
      </c>
    </row>
    <row r="26" spans="1:72">
      <c r="A26" s="98" t="s">
        <v>758</v>
      </c>
      <c r="B26" s="99" t="s">
        <v>759</v>
      </c>
      <c r="C26" s="100"/>
      <c r="D26" s="101">
        <v>9</v>
      </c>
      <c r="E26" s="101">
        <v>135356</v>
      </c>
      <c r="F26" s="102">
        <v>544.88</v>
      </c>
      <c r="G26" s="98" t="s">
        <v>758</v>
      </c>
      <c r="H26" s="99" t="s">
        <v>759</v>
      </c>
      <c r="I26" s="100"/>
      <c r="J26" s="101">
        <v>9</v>
      </c>
      <c r="K26" s="101">
        <v>146472</v>
      </c>
      <c r="L26" s="102">
        <v>520</v>
      </c>
      <c r="M26" s="116" t="s">
        <v>758</v>
      </c>
      <c r="N26" s="117" t="s">
        <v>759</v>
      </c>
      <c r="O26" s="118"/>
      <c r="P26" s="119">
        <v>9</v>
      </c>
      <c r="Q26" s="119">
        <v>152850</v>
      </c>
      <c r="R26" s="120">
        <v>564.48</v>
      </c>
      <c r="S26" s="116" t="s">
        <v>758</v>
      </c>
      <c r="T26" s="117" t="s">
        <v>759</v>
      </c>
      <c r="U26" s="118"/>
      <c r="V26" s="119">
        <v>9</v>
      </c>
      <c r="W26" s="119">
        <v>128120</v>
      </c>
      <c r="X26" s="120">
        <v>621.84</v>
      </c>
      <c r="Y26" s="116" t="s">
        <v>758</v>
      </c>
      <c r="Z26" s="117" t="s">
        <v>759</v>
      </c>
      <c r="AA26" s="118"/>
      <c r="AB26" s="119">
        <v>9</v>
      </c>
      <c r="AC26" s="119">
        <v>121692</v>
      </c>
      <c r="AD26" s="120">
        <v>652.32000000000005</v>
      </c>
      <c r="AE26" s="98" t="s">
        <v>758</v>
      </c>
      <c r="AF26" s="99" t="s">
        <v>759</v>
      </c>
      <c r="AG26" s="100"/>
      <c r="AH26" s="101">
        <v>9</v>
      </c>
      <c r="AI26" s="101">
        <v>104724</v>
      </c>
      <c r="AJ26" s="102">
        <v>624.96</v>
      </c>
      <c r="AK26" s="131" t="s">
        <v>758</v>
      </c>
      <c r="AL26" s="132" t="s">
        <v>759</v>
      </c>
      <c r="AM26" s="100"/>
      <c r="AN26" s="133">
        <v>9</v>
      </c>
      <c r="AO26" s="133">
        <v>87502</v>
      </c>
      <c r="AP26" s="134">
        <v>453.52</v>
      </c>
      <c r="AQ26" s="131" t="s">
        <v>758</v>
      </c>
      <c r="AR26" s="132" t="s">
        <v>759</v>
      </c>
      <c r="AS26" s="100"/>
      <c r="AT26" s="133">
        <v>9</v>
      </c>
      <c r="AU26" s="133">
        <v>80825</v>
      </c>
      <c r="AV26" s="134">
        <v>464.48</v>
      </c>
      <c r="AW26" s="142" t="s">
        <v>758</v>
      </c>
      <c r="AX26" s="143" t="s">
        <v>759</v>
      </c>
      <c r="AY26" s="118"/>
      <c r="AZ26" s="144">
        <v>9</v>
      </c>
      <c r="BA26" s="144">
        <v>136839</v>
      </c>
      <c r="BB26" s="145">
        <v>601.6</v>
      </c>
      <c r="BC26" s="131" t="s">
        <v>758</v>
      </c>
      <c r="BD26" s="132" t="s">
        <v>759</v>
      </c>
      <c r="BE26" s="100"/>
      <c r="BF26" s="133">
        <v>9</v>
      </c>
      <c r="BG26" s="133">
        <v>116581</v>
      </c>
      <c r="BH26" s="134">
        <v>766.4</v>
      </c>
      <c r="BI26" s="131" t="s">
        <v>758</v>
      </c>
      <c r="BJ26" s="132" t="s">
        <v>759</v>
      </c>
      <c r="BK26" s="100"/>
      <c r="BL26" s="133">
        <v>9</v>
      </c>
      <c r="BM26" s="133">
        <v>105846</v>
      </c>
      <c r="BN26" s="134">
        <v>508.56</v>
      </c>
      <c r="BO26" s="131" t="s">
        <v>758</v>
      </c>
      <c r="BP26" s="132" t="s">
        <v>759</v>
      </c>
      <c r="BQ26" s="100"/>
      <c r="BR26" s="133">
        <v>9</v>
      </c>
      <c r="BS26" s="133">
        <v>98718</v>
      </c>
      <c r="BT26" s="134">
        <v>434.72</v>
      </c>
    </row>
    <row r="27" spans="1:72">
      <c r="A27" s="98" t="s">
        <v>760</v>
      </c>
      <c r="B27" s="99" t="s">
        <v>761</v>
      </c>
      <c r="C27" s="100"/>
      <c r="D27" s="101">
        <v>7</v>
      </c>
      <c r="E27" s="101">
        <v>6779</v>
      </c>
      <c r="F27" s="102">
        <v>32</v>
      </c>
      <c r="G27" s="98" t="s">
        <v>760</v>
      </c>
      <c r="H27" s="99" t="s">
        <v>761</v>
      </c>
      <c r="I27" s="100"/>
      <c r="J27" s="101">
        <v>7</v>
      </c>
      <c r="K27" s="101">
        <v>5256</v>
      </c>
      <c r="L27" s="102">
        <v>32</v>
      </c>
      <c r="M27" s="116" t="s">
        <v>760</v>
      </c>
      <c r="N27" s="117" t="s">
        <v>761</v>
      </c>
      <c r="O27" s="118"/>
      <c r="P27" s="119">
        <v>7</v>
      </c>
      <c r="Q27" s="119">
        <v>4821</v>
      </c>
      <c r="R27" s="120">
        <v>17.600000000000001</v>
      </c>
      <c r="S27" s="116" t="s">
        <v>760</v>
      </c>
      <c r="T27" s="117" t="s">
        <v>761</v>
      </c>
      <c r="U27" s="118"/>
      <c r="V27" s="119">
        <v>7</v>
      </c>
      <c r="W27" s="119">
        <v>4084</v>
      </c>
      <c r="X27" s="120">
        <v>17.600000000000001</v>
      </c>
      <c r="Y27" s="116" t="s">
        <v>760</v>
      </c>
      <c r="Z27" s="117" t="s">
        <v>761</v>
      </c>
      <c r="AA27" s="118"/>
      <c r="AB27" s="119">
        <v>7</v>
      </c>
      <c r="AC27" s="119">
        <v>4078</v>
      </c>
      <c r="AD27" s="120">
        <v>16.8</v>
      </c>
      <c r="AE27" s="98" t="s">
        <v>760</v>
      </c>
      <c r="AF27" s="99" t="s">
        <v>761</v>
      </c>
      <c r="AG27" s="100"/>
      <c r="AH27" s="101">
        <v>7</v>
      </c>
      <c r="AI27" s="101">
        <v>4438</v>
      </c>
      <c r="AJ27" s="102">
        <v>17.600000000000001</v>
      </c>
      <c r="AK27" s="131" t="s">
        <v>760</v>
      </c>
      <c r="AL27" s="132" t="s">
        <v>761</v>
      </c>
      <c r="AM27" s="100"/>
      <c r="AN27" s="133">
        <v>7</v>
      </c>
      <c r="AO27" s="133">
        <v>5227</v>
      </c>
      <c r="AP27" s="134">
        <v>18.399999999999999</v>
      </c>
      <c r="AQ27" s="131" t="s">
        <v>760</v>
      </c>
      <c r="AR27" s="132" t="s">
        <v>761</v>
      </c>
      <c r="AS27" s="100"/>
      <c r="AT27" s="133">
        <v>7</v>
      </c>
      <c r="AU27" s="133">
        <v>4872</v>
      </c>
      <c r="AV27" s="134">
        <v>17.600000000000001</v>
      </c>
      <c r="AW27" s="142" t="s">
        <v>760</v>
      </c>
      <c r="AX27" s="143" t="s">
        <v>761</v>
      </c>
      <c r="AY27" s="118"/>
      <c r="AZ27" s="144">
        <v>7</v>
      </c>
      <c r="BA27" s="144">
        <v>5008</v>
      </c>
      <c r="BB27" s="145">
        <v>17.600000000000001</v>
      </c>
      <c r="BC27" s="131" t="s">
        <v>760</v>
      </c>
      <c r="BD27" s="132" t="s">
        <v>761</v>
      </c>
      <c r="BE27" s="100"/>
      <c r="BF27" s="133">
        <v>7</v>
      </c>
      <c r="BG27" s="133">
        <v>3352</v>
      </c>
      <c r="BH27" s="134">
        <v>10.4</v>
      </c>
      <c r="BI27" s="131" t="s">
        <v>760</v>
      </c>
      <c r="BJ27" s="132" t="s">
        <v>761</v>
      </c>
      <c r="BK27" s="100"/>
      <c r="BL27" s="133">
        <v>7</v>
      </c>
      <c r="BM27" s="133">
        <v>6172</v>
      </c>
      <c r="BN27" s="134">
        <v>30.4</v>
      </c>
      <c r="BO27" s="131" t="s">
        <v>760</v>
      </c>
      <c r="BP27" s="132" t="s">
        <v>761</v>
      </c>
      <c r="BQ27" s="100"/>
      <c r="BR27" s="133">
        <v>7</v>
      </c>
      <c r="BS27" s="133">
        <v>5365</v>
      </c>
      <c r="BT27" s="134">
        <v>21.6</v>
      </c>
    </row>
    <row r="28" spans="1:72">
      <c r="A28" s="103" t="s">
        <v>56</v>
      </c>
      <c r="B28" s="100"/>
      <c r="C28" s="100"/>
      <c r="D28" s="101">
        <v>836</v>
      </c>
      <c r="E28" s="101">
        <v>6821770</v>
      </c>
      <c r="F28" s="102">
        <v>16433.27</v>
      </c>
      <c r="G28" s="103" t="s">
        <v>56</v>
      </c>
      <c r="H28" s="100"/>
      <c r="I28" s="100"/>
      <c r="J28" s="101">
        <v>829</v>
      </c>
      <c r="K28" s="101">
        <v>6108557</v>
      </c>
      <c r="L28" s="102">
        <v>16075.51</v>
      </c>
      <c r="M28" s="121" t="s">
        <v>56</v>
      </c>
      <c r="N28" s="118"/>
      <c r="O28" s="118"/>
      <c r="P28" s="119">
        <v>832</v>
      </c>
      <c r="Q28" s="119">
        <v>6527244</v>
      </c>
      <c r="R28" s="120">
        <v>16140.43</v>
      </c>
      <c r="S28" s="121" t="s">
        <v>56</v>
      </c>
      <c r="T28" s="118"/>
      <c r="U28" s="118"/>
      <c r="V28" s="119">
        <v>834</v>
      </c>
      <c r="W28" s="119">
        <v>6177473</v>
      </c>
      <c r="X28" s="120">
        <v>15776.01</v>
      </c>
      <c r="Y28" s="121" t="s">
        <v>56</v>
      </c>
      <c r="Z28" s="118"/>
      <c r="AA28" s="118"/>
      <c r="AB28" s="119">
        <v>830</v>
      </c>
      <c r="AC28" s="119">
        <v>6367846</v>
      </c>
      <c r="AD28" s="120">
        <v>16669.16</v>
      </c>
      <c r="AE28" s="103" t="s">
        <v>56</v>
      </c>
      <c r="AF28" s="100"/>
      <c r="AG28" s="100"/>
      <c r="AH28" s="101">
        <v>834</v>
      </c>
      <c r="AI28" s="101">
        <v>6504270</v>
      </c>
      <c r="AJ28" s="102">
        <v>16436.96</v>
      </c>
      <c r="AK28" s="135" t="s">
        <v>56</v>
      </c>
      <c r="AL28" s="100"/>
      <c r="AM28" s="100"/>
      <c r="AN28" s="133">
        <v>833</v>
      </c>
      <c r="AO28" s="133">
        <v>7430710</v>
      </c>
      <c r="AP28" s="134">
        <v>17333.12</v>
      </c>
      <c r="AQ28" s="135" t="s">
        <v>56</v>
      </c>
      <c r="AR28" s="100"/>
      <c r="AS28" s="100"/>
      <c r="AT28" s="133">
        <v>837</v>
      </c>
      <c r="AU28" s="133">
        <v>7092235</v>
      </c>
      <c r="AV28" s="134">
        <v>17311.71</v>
      </c>
      <c r="AW28" s="146" t="s">
        <v>56</v>
      </c>
      <c r="AX28" s="118"/>
      <c r="AY28" s="118"/>
      <c r="AZ28" s="144">
        <v>835</v>
      </c>
      <c r="BA28" s="144">
        <v>6913422</v>
      </c>
      <c r="BB28" s="145">
        <v>17246.259999999998</v>
      </c>
      <c r="BC28" s="135" t="s">
        <v>56</v>
      </c>
      <c r="BD28" s="100"/>
      <c r="BE28" s="100"/>
      <c r="BF28" s="133">
        <v>828</v>
      </c>
      <c r="BG28" s="133">
        <v>6320909</v>
      </c>
      <c r="BH28" s="134">
        <v>16284.01</v>
      </c>
      <c r="BI28" s="135" t="s">
        <v>56</v>
      </c>
      <c r="BJ28" s="100"/>
      <c r="BK28" s="100"/>
      <c r="BL28" s="133">
        <v>834</v>
      </c>
      <c r="BM28" s="133">
        <v>6203250</v>
      </c>
      <c r="BN28" s="134">
        <v>16884.87</v>
      </c>
      <c r="BO28" s="135" t="s">
        <v>56</v>
      </c>
      <c r="BP28" s="100"/>
      <c r="BQ28" s="100"/>
      <c r="BR28" s="133">
        <v>833</v>
      </c>
      <c r="BS28" s="133">
        <v>6690061</v>
      </c>
      <c r="BT28" s="134">
        <v>16698.62</v>
      </c>
    </row>
    <row r="29" spans="1:72">
      <c r="A29" s="104"/>
      <c r="B29" s="100"/>
      <c r="C29" s="100"/>
      <c r="D29" s="100"/>
      <c r="E29" s="107"/>
      <c r="F29" s="105"/>
      <c r="G29" s="104"/>
      <c r="H29" s="100"/>
      <c r="I29" s="100"/>
      <c r="J29" s="100"/>
      <c r="K29" s="107">
        <f>K28-K23</f>
        <v>5047837</v>
      </c>
      <c r="L29" s="105"/>
      <c r="M29" s="122"/>
      <c r="N29" s="118"/>
      <c r="O29" s="118"/>
      <c r="P29" s="118"/>
      <c r="Q29" s="107">
        <f>Q28-Q23</f>
        <v>5348284</v>
      </c>
      <c r="R29" s="123"/>
      <c r="S29" s="122"/>
      <c r="T29" s="118"/>
      <c r="U29" s="118"/>
      <c r="V29" s="118"/>
      <c r="W29" s="107"/>
      <c r="X29" s="123"/>
      <c r="Y29" s="122"/>
      <c r="Z29" s="118"/>
      <c r="AA29" s="118"/>
      <c r="AB29" s="118"/>
      <c r="AC29" s="107">
        <f>AC28-AC23</f>
        <v>5208966</v>
      </c>
      <c r="AD29" s="123"/>
      <c r="AE29" s="104"/>
      <c r="AF29" s="100"/>
      <c r="AG29" s="100"/>
      <c r="AH29" s="100"/>
      <c r="AI29" s="107">
        <f>AI28-AI23</f>
        <v>5400230</v>
      </c>
      <c r="AJ29" s="105"/>
      <c r="AK29" s="104"/>
      <c r="AL29" s="100"/>
      <c r="AM29" s="100"/>
      <c r="AN29" s="100"/>
      <c r="AO29" s="100"/>
      <c r="AP29" s="105"/>
      <c r="AQ29" s="104"/>
      <c r="AR29" s="100"/>
      <c r="AS29" s="100"/>
      <c r="AT29" s="100"/>
      <c r="AU29" s="100"/>
      <c r="AV29" s="105"/>
      <c r="AW29" s="122"/>
      <c r="AX29" s="118"/>
      <c r="AY29" s="118"/>
      <c r="AZ29" s="118"/>
      <c r="BA29" s="118"/>
      <c r="BB29" s="123"/>
      <c r="BC29" s="104"/>
      <c r="BD29" s="100"/>
      <c r="BE29" s="100"/>
      <c r="BF29" s="100"/>
      <c r="BG29" s="100"/>
      <c r="BH29" s="105"/>
      <c r="BI29" s="104"/>
      <c r="BJ29" s="100"/>
      <c r="BK29" s="100"/>
      <c r="BL29" s="100"/>
      <c r="BM29" s="100"/>
      <c r="BN29" s="105"/>
      <c r="BO29" s="104"/>
      <c r="BP29" s="100"/>
      <c r="BQ29" s="100"/>
      <c r="BR29" s="100"/>
      <c r="BS29" s="100"/>
      <c r="BT29" s="105"/>
    </row>
    <row r="30" spans="1:72">
      <c r="A30" s="98" t="s">
        <v>762</v>
      </c>
      <c r="B30" s="99" t="s">
        <v>763</v>
      </c>
      <c r="C30" s="100"/>
      <c r="D30" s="101">
        <v>1</v>
      </c>
      <c r="E30" s="101">
        <v>62454.98</v>
      </c>
      <c r="F30" s="102">
        <v>0</v>
      </c>
      <c r="G30" s="98" t="s">
        <v>762</v>
      </c>
      <c r="H30" s="99" t="s">
        <v>763</v>
      </c>
      <c r="I30" s="100"/>
      <c r="J30" s="101">
        <v>1</v>
      </c>
      <c r="K30" s="101">
        <v>52763.7</v>
      </c>
      <c r="L30" s="102">
        <v>0</v>
      </c>
      <c r="M30" s="116" t="s">
        <v>762</v>
      </c>
      <c r="N30" s="117" t="s">
        <v>763</v>
      </c>
      <c r="O30" s="118"/>
      <c r="P30" s="119">
        <v>1</v>
      </c>
      <c r="Q30" s="119">
        <v>52917.52</v>
      </c>
      <c r="R30" s="120">
        <v>0</v>
      </c>
      <c r="S30" s="116" t="s">
        <v>762</v>
      </c>
      <c r="T30" s="117" t="s">
        <v>763</v>
      </c>
      <c r="U30" s="118"/>
      <c r="V30" s="119">
        <v>1</v>
      </c>
      <c r="W30" s="119">
        <v>45776.62</v>
      </c>
      <c r="X30" s="120">
        <v>0</v>
      </c>
      <c r="Y30" s="116" t="s">
        <v>762</v>
      </c>
      <c r="Z30" s="117" t="s">
        <v>763</v>
      </c>
      <c r="AA30" s="118"/>
      <c r="AB30" s="119">
        <v>1</v>
      </c>
      <c r="AC30" s="119">
        <v>41769.24</v>
      </c>
      <c r="AD30" s="120">
        <v>0</v>
      </c>
      <c r="AE30" s="98" t="s">
        <v>762</v>
      </c>
      <c r="AF30" s="99" t="s">
        <v>763</v>
      </c>
      <c r="AG30" s="100"/>
      <c r="AH30" s="101">
        <v>1</v>
      </c>
      <c r="AI30" s="101">
        <v>37632.120000000003</v>
      </c>
      <c r="AJ30" s="102">
        <v>0</v>
      </c>
      <c r="AK30" s="131" t="s">
        <v>762</v>
      </c>
      <c r="AL30" s="132" t="s">
        <v>763</v>
      </c>
      <c r="AM30" s="100"/>
      <c r="AN30" s="133">
        <v>1</v>
      </c>
      <c r="AO30" s="133">
        <v>40462.839999999997</v>
      </c>
      <c r="AP30" s="134">
        <v>0</v>
      </c>
      <c r="AQ30" s="131" t="s">
        <v>762</v>
      </c>
      <c r="AR30" s="132" t="s">
        <v>763</v>
      </c>
      <c r="AS30" s="100"/>
      <c r="AT30" s="133">
        <v>1</v>
      </c>
      <c r="AU30" s="133">
        <v>45346.54</v>
      </c>
      <c r="AV30" s="134">
        <v>0</v>
      </c>
      <c r="AW30" s="142" t="s">
        <v>762</v>
      </c>
      <c r="AX30" s="143" t="s">
        <v>763</v>
      </c>
      <c r="AY30" s="118"/>
      <c r="AZ30" s="144">
        <v>1</v>
      </c>
      <c r="BA30" s="144">
        <v>49563.48</v>
      </c>
      <c r="BB30" s="145">
        <v>0</v>
      </c>
      <c r="BC30" s="131" t="s">
        <v>762</v>
      </c>
      <c r="BD30" s="132" t="s">
        <v>763</v>
      </c>
      <c r="BE30" s="100"/>
      <c r="BF30" s="133">
        <v>1</v>
      </c>
      <c r="BG30" s="133">
        <v>57044.76</v>
      </c>
      <c r="BH30" s="134">
        <v>0</v>
      </c>
      <c r="BI30" s="131" t="s">
        <v>762</v>
      </c>
      <c r="BJ30" s="132" t="s">
        <v>763</v>
      </c>
      <c r="BK30" s="100"/>
      <c r="BL30" s="133">
        <v>1</v>
      </c>
      <c r="BM30" s="133">
        <v>60160.11</v>
      </c>
      <c r="BN30" s="134">
        <v>0</v>
      </c>
      <c r="BO30" s="131" t="s">
        <v>762</v>
      </c>
      <c r="BP30" s="132" t="s">
        <v>763</v>
      </c>
      <c r="BQ30" s="100"/>
      <c r="BR30" s="133">
        <v>1</v>
      </c>
      <c r="BS30" s="133">
        <v>64029.24</v>
      </c>
      <c r="BT30" s="134">
        <v>0</v>
      </c>
    </row>
    <row r="31" spans="1:72">
      <c r="A31" s="103" t="s">
        <v>604</v>
      </c>
      <c r="B31" s="100"/>
      <c r="C31" s="100"/>
      <c r="D31" s="101">
        <v>1</v>
      </c>
      <c r="E31" s="101">
        <v>62454.98</v>
      </c>
      <c r="F31" s="102">
        <v>0</v>
      </c>
      <c r="G31" s="103" t="s">
        <v>604</v>
      </c>
      <c r="H31" s="100"/>
      <c r="I31" s="100"/>
      <c r="J31" s="101">
        <v>1</v>
      </c>
      <c r="K31" s="101">
        <v>52763.7</v>
      </c>
      <c r="L31" s="102">
        <v>0</v>
      </c>
      <c r="M31" s="121" t="s">
        <v>604</v>
      </c>
      <c r="N31" s="118"/>
      <c r="O31" s="118"/>
      <c r="P31" s="119">
        <v>1</v>
      </c>
      <c r="Q31" s="119">
        <v>52917.52</v>
      </c>
      <c r="R31" s="120">
        <v>0</v>
      </c>
      <c r="S31" s="121" t="s">
        <v>604</v>
      </c>
      <c r="T31" s="118"/>
      <c r="U31" s="118"/>
      <c r="V31" s="119">
        <v>1</v>
      </c>
      <c r="W31" s="119">
        <v>45776.62</v>
      </c>
      <c r="X31" s="120">
        <v>0</v>
      </c>
      <c r="Y31" s="121" t="s">
        <v>604</v>
      </c>
      <c r="Z31" s="118"/>
      <c r="AA31" s="118"/>
      <c r="AB31" s="119">
        <v>1</v>
      </c>
      <c r="AC31" s="119">
        <v>41769.24</v>
      </c>
      <c r="AD31" s="120">
        <v>0</v>
      </c>
      <c r="AE31" s="103" t="s">
        <v>604</v>
      </c>
      <c r="AF31" s="100"/>
      <c r="AG31" s="100"/>
      <c r="AH31" s="101">
        <v>1</v>
      </c>
      <c r="AI31" s="101">
        <v>37632.120000000003</v>
      </c>
      <c r="AJ31" s="102">
        <v>0</v>
      </c>
      <c r="AK31" s="135" t="s">
        <v>604</v>
      </c>
      <c r="AL31" s="100"/>
      <c r="AM31" s="100"/>
      <c r="AN31" s="133">
        <v>1</v>
      </c>
      <c r="AO31" s="133">
        <v>40462.839999999997</v>
      </c>
      <c r="AP31" s="134">
        <v>0</v>
      </c>
      <c r="AQ31" s="135" t="s">
        <v>604</v>
      </c>
      <c r="AR31" s="100"/>
      <c r="AS31" s="100"/>
      <c r="AT31" s="133">
        <v>1</v>
      </c>
      <c r="AU31" s="133">
        <v>45346.54</v>
      </c>
      <c r="AV31" s="134">
        <v>0</v>
      </c>
      <c r="AW31" s="146" t="s">
        <v>604</v>
      </c>
      <c r="AX31" s="118"/>
      <c r="AY31" s="118"/>
      <c r="AZ31" s="144">
        <v>1</v>
      </c>
      <c r="BA31" s="144">
        <v>49563.48</v>
      </c>
      <c r="BB31" s="145">
        <v>0</v>
      </c>
      <c r="BC31" s="135" t="s">
        <v>604</v>
      </c>
      <c r="BD31" s="100"/>
      <c r="BE31" s="100"/>
      <c r="BF31" s="133">
        <v>1</v>
      </c>
      <c r="BG31" s="133">
        <v>57044.76</v>
      </c>
      <c r="BH31" s="134">
        <v>0</v>
      </c>
      <c r="BI31" s="135" t="s">
        <v>604</v>
      </c>
      <c r="BJ31" s="100"/>
      <c r="BK31" s="100"/>
      <c r="BL31" s="133">
        <v>1</v>
      </c>
      <c r="BM31" s="133">
        <v>60160.11</v>
      </c>
      <c r="BN31" s="134">
        <v>0</v>
      </c>
      <c r="BO31" s="135" t="s">
        <v>604</v>
      </c>
      <c r="BP31" s="100"/>
      <c r="BQ31" s="100"/>
      <c r="BR31" s="133">
        <v>1</v>
      </c>
      <c r="BS31" s="133">
        <v>64029.24</v>
      </c>
      <c r="BT31" s="134">
        <v>0</v>
      </c>
    </row>
    <row r="32" spans="1:72">
      <c r="A32" s="104"/>
      <c r="B32" s="100"/>
      <c r="C32" s="100"/>
      <c r="D32" s="100"/>
      <c r="E32" s="100"/>
      <c r="F32" s="105"/>
      <c r="G32" s="104"/>
      <c r="H32" s="100"/>
      <c r="I32" s="100"/>
      <c r="J32" s="100"/>
      <c r="K32" s="100"/>
      <c r="L32" s="105"/>
      <c r="M32" s="122"/>
      <c r="N32" s="118"/>
      <c r="O32" s="118"/>
      <c r="P32" s="118"/>
      <c r="Q32" s="118"/>
      <c r="R32" s="123"/>
      <c r="S32" s="122"/>
      <c r="T32" s="118"/>
      <c r="U32" s="118"/>
      <c r="V32" s="118"/>
      <c r="W32" s="118"/>
      <c r="X32" s="123"/>
      <c r="Y32" s="122"/>
      <c r="Z32" s="118"/>
      <c r="AA32" s="118"/>
      <c r="AB32" s="118"/>
      <c r="AC32" s="118"/>
      <c r="AD32" s="123"/>
      <c r="AE32" s="104"/>
      <c r="AF32" s="100"/>
      <c r="AG32" s="100"/>
      <c r="AH32" s="100"/>
      <c r="AI32" s="100"/>
      <c r="AJ32" s="105"/>
      <c r="AK32" s="104"/>
      <c r="AL32" s="100"/>
      <c r="AM32" s="100"/>
      <c r="AN32" s="100"/>
      <c r="AO32" s="100"/>
      <c r="AP32" s="105"/>
      <c r="AQ32" s="104"/>
      <c r="AR32" s="100"/>
      <c r="AS32" s="100"/>
      <c r="AT32" s="100"/>
      <c r="AU32" s="100"/>
      <c r="AV32" s="105"/>
      <c r="AW32" s="122"/>
      <c r="AX32" s="118"/>
      <c r="AY32" s="118"/>
      <c r="AZ32" s="118"/>
      <c r="BA32" s="118"/>
      <c r="BB32" s="123"/>
      <c r="BC32" s="104"/>
      <c r="BD32" s="100"/>
      <c r="BE32" s="100"/>
      <c r="BF32" s="100"/>
      <c r="BG32" s="100"/>
      <c r="BH32" s="105"/>
      <c r="BI32" s="104"/>
      <c r="BJ32" s="100"/>
      <c r="BK32" s="100"/>
      <c r="BL32" s="100"/>
      <c r="BM32" s="100"/>
      <c r="BN32" s="105"/>
      <c r="BO32" s="104"/>
      <c r="BP32" s="100"/>
      <c r="BQ32" s="100"/>
      <c r="BR32" s="100"/>
      <c r="BS32" s="100"/>
      <c r="BT32" s="105"/>
    </row>
    <row r="33" spans="1:72">
      <c r="A33" s="98" t="s">
        <v>764</v>
      </c>
      <c r="B33" s="99" t="s">
        <v>765</v>
      </c>
      <c r="C33" s="100"/>
      <c r="D33" s="101">
        <v>37</v>
      </c>
      <c r="E33" s="101">
        <v>75462</v>
      </c>
      <c r="F33" s="102">
        <v>0</v>
      </c>
      <c r="G33" s="98" t="s">
        <v>764</v>
      </c>
      <c r="H33" s="99" t="s">
        <v>765</v>
      </c>
      <c r="I33" s="100"/>
      <c r="J33" s="101">
        <v>37</v>
      </c>
      <c r="K33" s="101">
        <v>75311</v>
      </c>
      <c r="L33" s="102">
        <v>0</v>
      </c>
      <c r="M33" s="116" t="s">
        <v>764</v>
      </c>
      <c r="N33" s="117" t="s">
        <v>765</v>
      </c>
      <c r="O33" s="118"/>
      <c r="P33" s="119">
        <v>37</v>
      </c>
      <c r="Q33" s="119">
        <v>72663</v>
      </c>
      <c r="R33" s="120">
        <v>0</v>
      </c>
      <c r="S33" s="116" t="s">
        <v>764</v>
      </c>
      <c r="T33" s="117" t="s">
        <v>765</v>
      </c>
      <c r="U33" s="118"/>
      <c r="V33" s="119">
        <v>37</v>
      </c>
      <c r="W33" s="119">
        <v>42241</v>
      </c>
      <c r="X33" s="120">
        <v>0</v>
      </c>
      <c r="Y33" s="116" t="s">
        <v>764</v>
      </c>
      <c r="Z33" s="117" t="s">
        <v>765</v>
      </c>
      <c r="AA33" s="118"/>
      <c r="AB33" s="119">
        <v>38</v>
      </c>
      <c r="AC33" s="119">
        <v>47595</v>
      </c>
      <c r="AD33" s="120">
        <v>0</v>
      </c>
      <c r="AE33" s="98" t="s">
        <v>764</v>
      </c>
      <c r="AF33" s="99" t="s">
        <v>765</v>
      </c>
      <c r="AG33" s="100"/>
      <c r="AH33" s="101">
        <v>37</v>
      </c>
      <c r="AI33" s="101">
        <v>35597</v>
      </c>
      <c r="AJ33" s="102">
        <v>0</v>
      </c>
      <c r="AK33" s="131" t="s">
        <v>764</v>
      </c>
      <c r="AL33" s="132" t="s">
        <v>765</v>
      </c>
      <c r="AM33" s="100"/>
      <c r="AN33" s="133">
        <v>37</v>
      </c>
      <c r="AO33" s="133">
        <v>46955</v>
      </c>
      <c r="AP33" s="134">
        <v>0</v>
      </c>
      <c r="AQ33" s="131" t="s">
        <v>764</v>
      </c>
      <c r="AR33" s="132" t="s">
        <v>765</v>
      </c>
      <c r="AS33" s="100"/>
      <c r="AT33" s="133">
        <v>37</v>
      </c>
      <c r="AU33" s="133">
        <v>50027</v>
      </c>
      <c r="AV33" s="134">
        <v>0</v>
      </c>
      <c r="AW33" s="142" t="s">
        <v>764</v>
      </c>
      <c r="AX33" s="143" t="s">
        <v>765</v>
      </c>
      <c r="AY33" s="118"/>
      <c r="AZ33" s="144">
        <v>37</v>
      </c>
      <c r="BA33" s="144">
        <v>49165</v>
      </c>
      <c r="BB33" s="145">
        <v>0</v>
      </c>
      <c r="BC33" s="131" t="s">
        <v>764</v>
      </c>
      <c r="BD33" s="132" t="s">
        <v>765</v>
      </c>
      <c r="BE33" s="100"/>
      <c r="BF33" s="133">
        <v>37</v>
      </c>
      <c r="BG33" s="133">
        <v>39488</v>
      </c>
      <c r="BH33" s="134">
        <v>0</v>
      </c>
      <c r="BI33" s="131" t="s">
        <v>764</v>
      </c>
      <c r="BJ33" s="132" t="s">
        <v>765</v>
      </c>
      <c r="BK33" s="100"/>
      <c r="BL33" s="133">
        <v>37</v>
      </c>
      <c r="BM33" s="133">
        <v>54694</v>
      </c>
      <c r="BN33" s="134">
        <v>0</v>
      </c>
      <c r="BO33" s="131" t="s">
        <v>764</v>
      </c>
      <c r="BP33" s="132" t="s">
        <v>765</v>
      </c>
      <c r="BQ33" s="100"/>
      <c r="BR33" s="133">
        <v>37</v>
      </c>
      <c r="BS33" s="133">
        <v>63885</v>
      </c>
      <c r="BT33" s="134">
        <v>0</v>
      </c>
    </row>
    <row r="34" spans="1:72">
      <c r="A34" s="103" t="s">
        <v>766</v>
      </c>
      <c r="B34" s="100"/>
      <c r="C34" s="100"/>
      <c r="D34" s="101">
        <v>37</v>
      </c>
      <c r="E34" s="101">
        <v>75462</v>
      </c>
      <c r="F34" s="102">
        <v>0</v>
      </c>
      <c r="G34" s="103" t="s">
        <v>766</v>
      </c>
      <c r="H34" s="100"/>
      <c r="I34" s="100"/>
      <c r="J34" s="101">
        <v>37</v>
      </c>
      <c r="K34" s="101">
        <v>75311</v>
      </c>
      <c r="L34" s="102">
        <v>0</v>
      </c>
      <c r="M34" s="121" t="s">
        <v>766</v>
      </c>
      <c r="N34" s="118"/>
      <c r="O34" s="118"/>
      <c r="P34" s="119">
        <v>37</v>
      </c>
      <c r="Q34" s="119">
        <v>72663</v>
      </c>
      <c r="R34" s="120">
        <v>0</v>
      </c>
      <c r="S34" s="121" t="s">
        <v>766</v>
      </c>
      <c r="T34" s="118"/>
      <c r="U34" s="118"/>
      <c r="V34" s="119">
        <v>37</v>
      </c>
      <c r="W34" s="119">
        <v>42241</v>
      </c>
      <c r="X34" s="120">
        <v>0</v>
      </c>
      <c r="Y34" s="121" t="s">
        <v>766</v>
      </c>
      <c r="Z34" s="118"/>
      <c r="AA34" s="118"/>
      <c r="AB34" s="119">
        <v>38</v>
      </c>
      <c r="AC34" s="119">
        <v>47595</v>
      </c>
      <c r="AD34" s="120">
        <v>0</v>
      </c>
      <c r="AE34" s="103" t="s">
        <v>766</v>
      </c>
      <c r="AF34" s="100"/>
      <c r="AG34" s="100"/>
      <c r="AH34" s="101">
        <v>37</v>
      </c>
      <c r="AI34" s="101">
        <v>35597</v>
      </c>
      <c r="AJ34" s="102">
        <v>0</v>
      </c>
      <c r="AK34" s="135" t="s">
        <v>766</v>
      </c>
      <c r="AL34" s="100"/>
      <c r="AM34" s="100"/>
      <c r="AN34" s="133">
        <v>37</v>
      </c>
      <c r="AO34" s="133">
        <v>46955</v>
      </c>
      <c r="AP34" s="134">
        <v>0</v>
      </c>
      <c r="AQ34" s="135" t="s">
        <v>766</v>
      </c>
      <c r="AR34" s="100"/>
      <c r="AS34" s="100"/>
      <c r="AT34" s="133">
        <v>37</v>
      </c>
      <c r="AU34" s="133">
        <v>50027</v>
      </c>
      <c r="AV34" s="134">
        <v>0</v>
      </c>
      <c r="AW34" s="146" t="s">
        <v>766</v>
      </c>
      <c r="AX34" s="118"/>
      <c r="AY34" s="118"/>
      <c r="AZ34" s="144">
        <v>37</v>
      </c>
      <c r="BA34" s="144">
        <v>49165</v>
      </c>
      <c r="BB34" s="145">
        <v>0</v>
      </c>
      <c r="BC34" s="135" t="s">
        <v>766</v>
      </c>
      <c r="BD34" s="100"/>
      <c r="BE34" s="100"/>
      <c r="BF34" s="133">
        <v>37</v>
      </c>
      <c r="BG34" s="133">
        <v>39488</v>
      </c>
      <c r="BH34" s="134">
        <v>0</v>
      </c>
      <c r="BI34" s="135" t="s">
        <v>766</v>
      </c>
      <c r="BJ34" s="100"/>
      <c r="BK34" s="100"/>
      <c r="BL34" s="133">
        <v>37</v>
      </c>
      <c r="BM34" s="133">
        <v>54694</v>
      </c>
      <c r="BN34" s="134">
        <v>0</v>
      </c>
      <c r="BO34" s="135" t="s">
        <v>766</v>
      </c>
      <c r="BP34" s="100"/>
      <c r="BQ34" s="100"/>
      <c r="BR34" s="133">
        <v>37</v>
      </c>
      <c r="BS34" s="133">
        <v>63885</v>
      </c>
      <c r="BT34" s="134">
        <v>0</v>
      </c>
    </row>
    <row r="35" spans="1:72">
      <c r="A35" s="104"/>
      <c r="B35" s="100"/>
      <c r="C35" s="100"/>
      <c r="D35" s="100"/>
      <c r="E35" s="100"/>
      <c r="F35" s="105"/>
      <c r="G35" s="104"/>
      <c r="H35" s="100"/>
      <c r="I35" s="100"/>
      <c r="J35" s="100"/>
      <c r="K35" s="100"/>
      <c r="L35" s="105"/>
      <c r="M35" s="122"/>
      <c r="N35" s="118"/>
      <c r="O35" s="118"/>
      <c r="P35" s="118"/>
      <c r="Q35" s="118"/>
      <c r="R35" s="123"/>
      <c r="S35" s="122"/>
      <c r="T35" s="118"/>
      <c r="U35" s="118"/>
      <c r="V35" s="118"/>
      <c r="W35" s="118"/>
      <c r="X35" s="123"/>
      <c r="Y35" s="122"/>
      <c r="Z35" s="118"/>
      <c r="AA35" s="118"/>
      <c r="AB35" s="118"/>
      <c r="AC35" s="118"/>
      <c r="AD35" s="123"/>
      <c r="AE35" s="104"/>
      <c r="AF35" s="100"/>
      <c r="AG35" s="100"/>
      <c r="AH35" s="100"/>
      <c r="AI35" s="100"/>
      <c r="AJ35" s="105"/>
      <c r="AK35" s="104"/>
      <c r="AL35" s="100"/>
      <c r="AM35" s="100"/>
      <c r="AN35" s="100"/>
      <c r="AO35" s="100"/>
      <c r="AP35" s="105"/>
      <c r="AQ35" s="104"/>
      <c r="AR35" s="100"/>
      <c r="AS35" s="100"/>
      <c r="AT35" s="100"/>
      <c r="AU35" s="100"/>
      <c r="AV35" s="105"/>
      <c r="AW35" s="122"/>
      <c r="AX35" s="118"/>
      <c r="AY35" s="118"/>
      <c r="AZ35" s="118"/>
      <c r="BA35" s="118"/>
      <c r="BB35" s="123"/>
      <c r="BC35" s="104"/>
      <c r="BD35" s="100"/>
      <c r="BE35" s="100"/>
      <c r="BF35" s="100"/>
      <c r="BG35" s="100"/>
      <c r="BH35" s="105"/>
      <c r="BI35" s="104"/>
      <c r="BJ35" s="100"/>
      <c r="BK35" s="100"/>
      <c r="BL35" s="100"/>
      <c r="BM35" s="100"/>
      <c r="BN35" s="105"/>
      <c r="BO35" s="104"/>
      <c r="BP35" s="100"/>
      <c r="BQ35" s="100"/>
      <c r="BR35" s="100"/>
      <c r="BS35" s="100"/>
      <c r="BT35" s="105"/>
    </row>
    <row r="36" spans="1:72">
      <c r="A36" s="98" t="s">
        <v>767</v>
      </c>
      <c r="B36" s="99" t="s">
        <v>768</v>
      </c>
      <c r="C36" s="100"/>
      <c r="D36" s="101">
        <v>5049</v>
      </c>
      <c r="E36" s="101">
        <v>4971090</v>
      </c>
      <c r="F36" s="102">
        <v>691.46</v>
      </c>
      <c r="G36" s="98" t="s">
        <v>767</v>
      </c>
      <c r="H36" s="99" t="s">
        <v>768</v>
      </c>
      <c r="I36" s="100"/>
      <c r="J36" s="101">
        <v>4998</v>
      </c>
      <c r="K36" s="101">
        <v>5679056</v>
      </c>
      <c r="L36" s="102">
        <v>728.13</v>
      </c>
      <c r="M36" s="116" t="s">
        <v>767</v>
      </c>
      <c r="N36" s="117" t="s">
        <v>768</v>
      </c>
      <c r="O36" s="118"/>
      <c r="P36" s="119">
        <v>5000</v>
      </c>
      <c r="Q36" s="119">
        <v>5115257</v>
      </c>
      <c r="R36" s="120">
        <v>690.65</v>
      </c>
      <c r="S36" s="116" t="s">
        <v>767</v>
      </c>
      <c r="T36" s="117" t="s">
        <v>768</v>
      </c>
      <c r="U36" s="118"/>
      <c r="V36" s="119">
        <v>4993</v>
      </c>
      <c r="W36" s="119">
        <v>3401329</v>
      </c>
      <c r="X36" s="120">
        <v>556.74</v>
      </c>
      <c r="Y36" s="116" t="s">
        <v>767</v>
      </c>
      <c r="Z36" s="117" t="s">
        <v>768</v>
      </c>
      <c r="AA36" s="118"/>
      <c r="AB36" s="119">
        <v>5124</v>
      </c>
      <c r="AC36" s="119">
        <v>3791195</v>
      </c>
      <c r="AD36" s="120">
        <v>601.49</v>
      </c>
      <c r="AE36" s="98" t="s">
        <v>767</v>
      </c>
      <c r="AF36" s="99" t="s">
        <v>768</v>
      </c>
      <c r="AG36" s="100"/>
      <c r="AH36" s="101">
        <v>5293</v>
      </c>
      <c r="AI36" s="101">
        <v>2865827</v>
      </c>
      <c r="AJ36" s="102">
        <v>542.14</v>
      </c>
      <c r="AK36" s="131" t="s">
        <v>767</v>
      </c>
      <c r="AL36" s="132" t="s">
        <v>768</v>
      </c>
      <c r="AM36" s="100"/>
      <c r="AN36" s="133">
        <v>5423</v>
      </c>
      <c r="AO36" s="133">
        <v>3708714</v>
      </c>
      <c r="AP36" s="134">
        <v>668.56</v>
      </c>
      <c r="AQ36" s="131" t="s">
        <v>767</v>
      </c>
      <c r="AR36" s="132" t="s">
        <v>768</v>
      </c>
      <c r="AS36" s="100"/>
      <c r="AT36" s="133">
        <v>5814</v>
      </c>
      <c r="AU36" s="133">
        <v>3839513</v>
      </c>
      <c r="AV36" s="134">
        <v>577.80999999999995</v>
      </c>
      <c r="AW36" s="142" t="s">
        <v>767</v>
      </c>
      <c r="AX36" s="143" t="s">
        <v>768</v>
      </c>
      <c r="AY36" s="118"/>
      <c r="AZ36" s="144">
        <v>5070</v>
      </c>
      <c r="BA36" s="144">
        <v>3798980</v>
      </c>
      <c r="BB36" s="145">
        <v>635.86</v>
      </c>
      <c r="BC36" s="131" t="s">
        <v>767</v>
      </c>
      <c r="BD36" s="132" t="s">
        <v>768</v>
      </c>
      <c r="BE36" s="100"/>
      <c r="BF36" s="133">
        <v>5021</v>
      </c>
      <c r="BG36" s="133">
        <v>3412005</v>
      </c>
      <c r="BH36" s="134">
        <v>585.98</v>
      </c>
      <c r="BI36" s="131" t="s">
        <v>767</v>
      </c>
      <c r="BJ36" s="132" t="s">
        <v>768</v>
      </c>
      <c r="BK36" s="100"/>
      <c r="BL36" s="133">
        <v>5012</v>
      </c>
      <c r="BM36" s="133">
        <v>4184913</v>
      </c>
      <c r="BN36" s="134">
        <v>618.28</v>
      </c>
      <c r="BO36" s="131" t="s">
        <v>767</v>
      </c>
      <c r="BP36" s="132" t="s">
        <v>768</v>
      </c>
      <c r="BQ36" s="100"/>
      <c r="BR36" s="133">
        <v>5021</v>
      </c>
      <c r="BS36" s="133">
        <v>4802612</v>
      </c>
      <c r="BT36" s="134">
        <v>691.99</v>
      </c>
    </row>
    <row r="37" spans="1:72">
      <c r="A37" s="103" t="s">
        <v>769</v>
      </c>
      <c r="B37" s="100"/>
      <c r="C37" s="100"/>
      <c r="D37" s="101">
        <v>5049</v>
      </c>
      <c r="E37" s="101">
        <v>4971090</v>
      </c>
      <c r="F37" s="102">
        <v>691.46</v>
      </c>
      <c r="G37" s="103" t="s">
        <v>769</v>
      </c>
      <c r="H37" s="100"/>
      <c r="I37" s="100"/>
      <c r="J37" s="101">
        <v>4998</v>
      </c>
      <c r="K37" s="101">
        <v>5679056</v>
      </c>
      <c r="L37" s="102">
        <v>728.13</v>
      </c>
      <c r="M37" s="121" t="s">
        <v>769</v>
      </c>
      <c r="N37" s="118"/>
      <c r="O37" s="118"/>
      <c r="P37" s="119">
        <v>5000</v>
      </c>
      <c r="Q37" s="119">
        <v>5115257</v>
      </c>
      <c r="R37" s="120">
        <v>690.65</v>
      </c>
      <c r="S37" s="121" t="s">
        <v>769</v>
      </c>
      <c r="T37" s="118"/>
      <c r="U37" s="118"/>
      <c r="V37" s="119">
        <v>4993</v>
      </c>
      <c r="W37" s="119">
        <v>3401329</v>
      </c>
      <c r="X37" s="120">
        <v>556.74</v>
      </c>
      <c r="Y37" s="121" t="s">
        <v>769</v>
      </c>
      <c r="Z37" s="118"/>
      <c r="AA37" s="118"/>
      <c r="AB37" s="119">
        <v>5124</v>
      </c>
      <c r="AC37" s="119">
        <v>3791195</v>
      </c>
      <c r="AD37" s="120">
        <v>601.49</v>
      </c>
      <c r="AE37" s="103" t="s">
        <v>769</v>
      </c>
      <c r="AF37" s="100"/>
      <c r="AG37" s="100"/>
      <c r="AH37" s="101">
        <v>5293</v>
      </c>
      <c r="AI37" s="101">
        <v>2865827</v>
      </c>
      <c r="AJ37" s="102">
        <v>542.14</v>
      </c>
      <c r="AK37" s="135" t="s">
        <v>769</v>
      </c>
      <c r="AL37" s="100"/>
      <c r="AM37" s="100"/>
      <c r="AN37" s="133">
        <v>5423</v>
      </c>
      <c r="AO37" s="133">
        <v>3708714</v>
      </c>
      <c r="AP37" s="134">
        <v>668.56</v>
      </c>
      <c r="AQ37" s="135" t="s">
        <v>769</v>
      </c>
      <c r="AR37" s="100"/>
      <c r="AS37" s="100"/>
      <c r="AT37" s="133">
        <v>5814</v>
      </c>
      <c r="AU37" s="133">
        <v>3839513</v>
      </c>
      <c r="AV37" s="134">
        <v>577.80999999999995</v>
      </c>
      <c r="AW37" s="146" t="s">
        <v>769</v>
      </c>
      <c r="AX37" s="118"/>
      <c r="AY37" s="118"/>
      <c r="AZ37" s="144">
        <v>5070</v>
      </c>
      <c r="BA37" s="144">
        <v>3798980</v>
      </c>
      <c r="BB37" s="145">
        <v>635.86</v>
      </c>
      <c r="BC37" s="135" t="s">
        <v>769</v>
      </c>
      <c r="BD37" s="100"/>
      <c r="BE37" s="100"/>
      <c r="BF37" s="133">
        <v>5021</v>
      </c>
      <c r="BG37" s="133">
        <v>3412005</v>
      </c>
      <c r="BH37" s="134">
        <v>585.98</v>
      </c>
      <c r="BI37" s="135" t="s">
        <v>769</v>
      </c>
      <c r="BJ37" s="100"/>
      <c r="BK37" s="100"/>
      <c r="BL37" s="133">
        <v>5012</v>
      </c>
      <c r="BM37" s="133">
        <v>4184913</v>
      </c>
      <c r="BN37" s="134">
        <v>618.28</v>
      </c>
      <c r="BO37" s="135" t="s">
        <v>769</v>
      </c>
      <c r="BP37" s="100"/>
      <c r="BQ37" s="100"/>
      <c r="BR37" s="133">
        <v>5021</v>
      </c>
      <c r="BS37" s="133">
        <v>4802612</v>
      </c>
      <c r="BT37" s="134">
        <v>691.99</v>
      </c>
    </row>
    <row r="38" spans="1:72">
      <c r="A38" s="104"/>
      <c r="B38" s="100"/>
      <c r="C38" s="100"/>
      <c r="D38" s="100"/>
      <c r="E38" s="100"/>
      <c r="F38" s="105"/>
      <c r="G38" s="104"/>
      <c r="H38" s="100"/>
      <c r="I38" s="100"/>
      <c r="J38" s="100"/>
      <c r="K38" s="100"/>
      <c r="L38" s="105"/>
      <c r="M38" s="122"/>
      <c r="N38" s="118"/>
      <c r="O38" s="118"/>
      <c r="P38" s="118"/>
      <c r="Q38" s="118"/>
      <c r="R38" s="123"/>
      <c r="S38" s="122"/>
      <c r="T38" s="118"/>
      <c r="U38" s="118"/>
      <c r="V38" s="118"/>
      <c r="W38" s="118"/>
      <c r="X38" s="123"/>
      <c r="Y38" s="122"/>
      <c r="Z38" s="118"/>
      <c r="AA38" s="118"/>
      <c r="AB38" s="118"/>
      <c r="AC38" s="118"/>
      <c r="AD38" s="123"/>
      <c r="AE38" s="104"/>
      <c r="AF38" s="100"/>
      <c r="AG38" s="100"/>
      <c r="AH38" s="100"/>
      <c r="AI38" s="100"/>
      <c r="AJ38" s="105"/>
      <c r="AK38" s="104"/>
      <c r="AL38" s="100"/>
      <c r="AM38" s="100"/>
      <c r="AN38" s="100"/>
      <c r="AO38" s="100"/>
      <c r="AP38" s="105"/>
      <c r="AQ38" s="104"/>
      <c r="AR38" s="100"/>
      <c r="AS38" s="100"/>
      <c r="AT38" s="100"/>
      <c r="AU38" s="100"/>
      <c r="AV38" s="105"/>
      <c r="AW38" s="122"/>
      <c r="AX38" s="118"/>
      <c r="AY38" s="118"/>
      <c r="AZ38" s="118"/>
      <c r="BA38" s="118"/>
      <c r="BB38" s="123"/>
      <c r="BC38" s="104"/>
      <c r="BD38" s="100"/>
      <c r="BE38" s="100"/>
      <c r="BF38" s="100"/>
      <c r="BG38" s="100"/>
      <c r="BH38" s="105"/>
      <c r="BI38" s="104"/>
      <c r="BJ38" s="100"/>
      <c r="BK38" s="100"/>
      <c r="BL38" s="100"/>
      <c r="BM38" s="100"/>
      <c r="BN38" s="105"/>
      <c r="BO38" s="104"/>
      <c r="BP38" s="100"/>
      <c r="BQ38" s="100"/>
      <c r="BR38" s="100"/>
      <c r="BS38" s="100"/>
      <c r="BT38" s="105"/>
    </row>
    <row r="39" spans="1:72">
      <c r="A39" s="108" t="s">
        <v>770</v>
      </c>
      <c r="B39" s="109"/>
      <c r="C39" s="109"/>
      <c r="D39" s="110">
        <v>6261</v>
      </c>
      <c r="E39" s="110">
        <v>28527594.98</v>
      </c>
      <c r="F39" s="111">
        <v>55944.71</v>
      </c>
      <c r="G39" s="108" t="s">
        <v>770</v>
      </c>
      <c r="H39" s="109"/>
      <c r="I39" s="109"/>
      <c r="J39" s="110">
        <v>6205</v>
      </c>
      <c r="K39" s="110">
        <v>26342413.699999999</v>
      </c>
      <c r="L39" s="111">
        <v>57069.79</v>
      </c>
      <c r="M39" s="124" t="s">
        <v>770</v>
      </c>
      <c r="N39" s="125"/>
      <c r="O39" s="125"/>
      <c r="P39" s="126">
        <v>6211</v>
      </c>
      <c r="Q39" s="126">
        <v>29011321.52</v>
      </c>
      <c r="R39" s="127">
        <v>57225.68</v>
      </c>
      <c r="S39" s="124" t="s">
        <v>770</v>
      </c>
      <c r="T39" s="125"/>
      <c r="U39" s="125"/>
      <c r="V39" s="126">
        <v>6204</v>
      </c>
      <c r="W39" s="126">
        <v>27055953.620000001</v>
      </c>
      <c r="X39" s="127">
        <v>59094.07</v>
      </c>
      <c r="Y39" s="124" t="s">
        <v>770</v>
      </c>
      <c r="Z39" s="125"/>
      <c r="AA39" s="125"/>
      <c r="AB39" s="126">
        <v>6334</v>
      </c>
      <c r="AC39" s="126">
        <v>27544498.239999998</v>
      </c>
      <c r="AD39" s="127">
        <v>60821.49</v>
      </c>
      <c r="AE39" s="108" t="s">
        <v>770</v>
      </c>
      <c r="AF39" s="109"/>
      <c r="AG39" s="109"/>
      <c r="AH39" s="110">
        <v>6506</v>
      </c>
      <c r="AI39" s="110">
        <v>26579319.120000001</v>
      </c>
      <c r="AJ39" s="111">
        <v>56009.08</v>
      </c>
      <c r="AK39" s="136" t="s">
        <v>770</v>
      </c>
      <c r="AL39" s="109"/>
      <c r="AM39" s="109"/>
      <c r="AN39" s="137">
        <v>6635</v>
      </c>
      <c r="AO39" s="137">
        <v>29905309.84</v>
      </c>
      <c r="AP39" s="138">
        <v>60003.63</v>
      </c>
      <c r="AQ39" s="136" t="s">
        <v>770</v>
      </c>
      <c r="AR39" s="109"/>
      <c r="AS39" s="109"/>
      <c r="AT39" s="137">
        <v>7030</v>
      </c>
      <c r="AU39" s="137">
        <v>29654245.539999999</v>
      </c>
      <c r="AV39" s="138">
        <v>59003.74</v>
      </c>
      <c r="AW39" s="147" t="s">
        <v>770</v>
      </c>
      <c r="AX39" s="125"/>
      <c r="AY39" s="125"/>
      <c r="AZ39" s="148">
        <v>6284</v>
      </c>
      <c r="BA39" s="148">
        <v>29447129.48</v>
      </c>
      <c r="BB39" s="149">
        <v>63301.48</v>
      </c>
      <c r="BC39" s="136" t="s">
        <v>770</v>
      </c>
      <c r="BD39" s="109"/>
      <c r="BE39" s="109"/>
      <c r="BF39" s="137">
        <v>6229</v>
      </c>
      <c r="BG39" s="137">
        <v>27477288.760000002</v>
      </c>
      <c r="BH39" s="138">
        <v>59441.599999999999</v>
      </c>
      <c r="BI39" s="136" t="s">
        <v>770</v>
      </c>
      <c r="BJ39" s="109"/>
      <c r="BK39" s="109"/>
      <c r="BL39" s="137">
        <v>6227</v>
      </c>
      <c r="BM39" s="137">
        <v>24899645.109999999</v>
      </c>
      <c r="BN39" s="138">
        <v>59921.42</v>
      </c>
      <c r="BO39" s="136" t="s">
        <v>770</v>
      </c>
      <c r="BP39" s="109"/>
      <c r="BQ39" s="109"/>
      <c r="BR39" s="137">
        <v>6231</v>
      </c>
      <c r="BS39" s="137">
        <v>27864368.239999998</v>
      </c>
      <c r="BT39" s="138">
        <v>58861.81</v>
      </c>
    </row>
    <row r="40" spans="1:72">
      <c r="A40" s="93" t="s">
        <v>55</v>
      </c>
      <c r="C40" s="92">
        <f>E36</f>
        <v>4971090</v>
      </c>
      <c r="D40" s="91"/>
      <c r="E40" s="91"/>
      <c r="F40" s="91"/>
      <c r="G40" s="93" t="s">
        <v>55</v>
      </c>
      <c r="I40" s="92">
        <f>K36</f>
        <v>5679056</v>
      </c>
      <c r="M40" s="93" t="s">
        <v>55</v>
      </c>
      <c r="O40" s="92">
        <f>Q36</f>
        <v>5115257</v>
      </c>
      <c r="S40" s="93" t="s">
        <v>55</v>
      </c>
      <c r="U40" s="92">
        <f>W36</f>
        <v>3401329</v>
      </c>
      <c r="Y40" s="93" t="s">
        <v>55</v>
      </c>
      <c r="AA40" s="92">
        <f>AC36</f>
        <v>3791195</v>
      </c>
      <c r="AE40" s="93" t="s">
        <v>55</v>
      </c>
      <c r="AG40" s="92">
        <f>AI36</f>
        <v>2865827</v>
      </c>
      <c r="AK40" s="93" t="s">
        <v>55</v>
      </c>
      <c r="AM40" s="92">
        <f>AO36</f>
        <v>3708714</v>
      </c>
      <c r="AQ40" s="93" t="s">
        <v>55</v>
      </c>
      <c r="AS40" s="92">
        <f>AU36</f>
        <v>3839513</v>
      </c>
      <c r="AW40" s="93" t="s">
        <v>55</v>
      </c>
      <c r="AY40" s="92">
        <f>BA36</f>
        <v>3798980</v>
      </c>
      <c r="BC40" s="93" t="s">
        <v>55</v>
      </c>
      <c r="BE40" s="92">
        <f>BG36</f>
        <v>3412005</v>
      </c>
      <c r="BI40" s="93" t="s">
        <v>55</v>
      </c>
      <c r="BK40" s="92">
        <f>BM36</f>
        <v>4184913</v>
      </c>
      <c r="BO40" s="93" t="s">
        <v>55</v>
      </c>
      <c r="BQ40" s="92">
        <f>BS36</f>
        <v>4802612</v>
      </c>
    </row>
    <row r="41" spans="1:72">
      <c r="A41" s="93" t="s">
        <v>56</v>
      </c>
      <c r="C41" s="92">
        <f>SUM(E18:E22)</f>
        <v>5281705</v>
      </c>
      <c r="D41" s="91"/>
      <c r="E41" s="91"/>
      <c r="F41" s="91"/>
      <c r="G41" s="93" t="s">
        <v>56</v>
      </c>
      <c r="I41" s="92">
        <f>SUM(K18:K22)</f>
        <v>4562253</v>
      </c>
      <c r="M41" s="93" t="s">
        <v>56</v>
      </c>
      <c r="O41" s="92">
        <f>SUM(Q18:Q22)</f>
        <v>4837672</v>
      </c>
      <c r="S41" s="93" t="s">
        <v>56</v>
      </c>
      <c r="U41" s="92">
        <f>SUM(W18:W22)</f>
        <v>4594053</v>
      </c>
      <c r="Y41" s="93" t="s">
        <v>56</v>
      </c>
      <c r="AA41" s="92">
        <f>SUM(AC18:AC22)</f>
        <v>4738192</v>
      </c>
      <c r="AE41" s="93" t="s">
        <v>56</v>
      </c>
      <c r="AG41" s="92">
        <f>SUM(AI18:AI22)</f>
        <v>4954883</v>
      </c>
      <c r="AK41" s="93" t="s">
        <v>56</v>
      </c>
      <c r="AM41" s="92">
        <f>SUM(AO18:AO22)</f>
        <v>5566714</v>
      </c>
      <c r="AQ41" s="93" t="s">
        <v>56</v>
      </c>
      <c r="AS41" s="92">
        <f>SUM(AU18:AU22)</f>
        <v>5433782</v>
      </c>
      <c r="AW41" s="93" t="s">
        <v>56</v>
      </c>
      <c r="AY41" s="92">
        <f>SUM(BA18:BA22)</f>
        <v>5244583</v>
      </c>
      <c r="BC41" s="93" t="s">
        <v>56</v>
      </c>
      <c r="BE41" s="92">
        <f>SUM(BG18:BG22)</f>
        <v>4679087</v>
      </c>
      <c r="BI41" s="93" t="s">
        <v>56</v>
      </c>
      <c r="BK41" s="92">
        <f>SUM(BM18:BM22)</f>
        <v>4619400</v>
      </c>
      <c r="BO41" s="93" t="s">
        <v>56</v>
      </c>
      <c r="BQ41" s="92">
        <f>SUM(BS18:BS22)</f>
        <v>5094930</v>
      </c>
    </row>
    <row r="42" spans="1:72">
      <c r="A42" s="93" t="s">
        <v>57</v>
      </c>
      <c r="C42" s="92">
        <f>SUM(E23)</f>
        <v>1022340</v>
      </c>
      <c r="D42" s="91"/>
      <c r="E42" s="91"/>
      <c r="F42" s="91"/>
      <c r="G42" s="93" t="s">
        <v>57</v>
      </c>
      <c r="I42" s="92">
        <f>SUM(K23)</f>
        <v>1060720</v>
      </c>
      <c r="M42" s="93" t="s">
        <v>57</v>
      </c>
      <c r="O42" s="92">
        <f>SUM(Q23)</f>
        <v>1178960</v>
      </c>
      <c r="S42" s="93" t="s">
        <v>57</v>
      </c>
      <c r="U42" s="92">
        <f>SUM(W23)</f>
        <v>1118580</v>
      </c>
      <c r="Y42" s="93" t="s">
        <v>57</v>
      </c>
      <c r="AA42" s="92">
        <f>SUM(AC23)</f>
        <v>1158880</v>
      </c>
      <c r="AE42" s="93" t="s">
        <v>57</v>
      </c>
      <c r="AG42" s="92">
        <f>SUM(AI23)</f>
        <v>1104040</v>
      </c>
      <c r="AK42" s="93" t="s">
        <v>57</v>
      </c>
      <c r="AM42" s="92">
        <f>SUM(AO23)</f>
        <v>1366120</v>
      </c>
      <c r="AQ42" s="93" t="s">
        <v>57</v>
      </c>
      <c r="AS42" s="92">
        <f>SUM(AU23)</f>
        <v>1177440</v>
      </c>
      <c r="AW42" s="93" t="s">
        <v>57</v>
      </c>
      <c r="AY42" s="92">
        <f>SUM(BA23)</f>
        <v>1159260</v>
      </c>
      <c r="BC42" s="93" t="s">
        <v>57</v>
      </c>
      <c r="BE42" s="92">
        <f>SUM(BG23)</f>
        <v>1162260</v>
      </c>
      <c r="BI42" s="93" t="s">
        <v>57</v>
      </c>
      <c r="BK42" s="92">
        <f>SUM(BM23)</f>
        <v>1139080</v>
      </c>
      <c r="BO42" s="93" t="s">
        <v>57</v>
      </c>
      <c r="BQ42" s="92">
        <f>SUM(BS23)</f>
        <v>1120960</v>
      </c>
    </row>
    <row r="43" spans="1:72">
      <c r="A43" s="93" t="s">
        <v>772</v>
      </c>
      <c r="C43" s="92">
        <f>SUM(E24,E26,E27,E30)</f>
        <v>455456.98</v>
      </c>
      <c r="D43" s="91"/>
      <c r="E43" s="91"/>
      <c r="F43" s="91"/>
      <c r="G43" s="93" t="s">
        <v>772</v>
      </c>
      <c r="I43" s="92">
        <f>SUM(K24,K26,K27,K30)</f>
        <v>430099.7</v>
      </c>
      <c r="M43" s="93" t="s">
        <v>772</v>
      </c>
      <c r="O43" s="92">
        <f>SUM(Q24,Q26,Q27,Q30)</f>
        <v>443565.52</v>
      </c>
      <c r="S43" s="93" t="s">
        <v>772</v>
      </c>
      <c r="U43" s="92">
        <f>SUM(W24,W26,W27,W30)</f>
        <v>397802.62</v>
      </c>
      <c r="Y43" s="93" t="s">
        <v>772</v>
      </c>
      <c r="AA43" s="92">
        <f>SUM(AC24,AC26,AC27,AC30)</f>
        <v>394965.24</v>
      </c>
      <c r="AE43" s="93" t="s">
        <v>772</v>
      </c>
      <c r="AG43" s="92">
        <f>SUM(AI24,AI26,AI27,AI30)</f>
        <v>376417.12</v>
      </c>
      <c r="AK43" s="93" t="s">
        <v>772</v>
      </c>
      <c r="AM43" s="92">
        <f>SUM(AO24,AO26,AO27,AO30)</f>
        <v>413334.83999999997</v>
      </c>
      <c r="AQ43" s="93" t="s">
        <v>772</v>
      </c>
      <c r="AS43" s="92">
        <f>SUM(AU24,AU26,AU27,AU30)</f>
        <v>415021.54</v>
      </c>
      <c r="AW43" s="93" t="s">
        <v>772</v>
      </c>
      <c r="AY43" s="92">
        <f>SUM(BA24,BA26,BA27,BA30)</f>
        <v>430159.48</v>
      </c>
      <c r="BC43" s="93" t="s">
        <v>772</v>
      </c>
      <c r="BE43" s="92">
        <f>SUM(BG24,BG26,BG27,BG30)</f>
        <v>404280.76</v>
      </c>
      <c r="BI43" s="93" t="s">
        <v>772</v>
      </c>
      <c r="BK43" s="92">
        <f>SUM(BM24,BM26,BM27,BM30)</f>
        <v>399632.11</v>
      </c>
      <c r="BO43" s="93" t="s">
        <v>772</v>
      </c>
      <c r="BQ43" s="92">
        <f>SUM(BS24,BS26,BS27,BS30)</f>
        <v>405901.24</v>
      </c>
    </row>
    <row r="44" spans="1:72">
      <c r="A44" s="93" t="s">
        <v>771</v>
      </c>
      <c r="C44" s="92">
        <f>E25</f>
        <v>26683</v>
      </c>
      <c r="D44" s="91"/>
      <c r="E44" s="91"/>
      <c r="F44" s="91"/>
      <c r="G44" s="93" t="s">
        <v>771</v>
      </c>
      <c r="I44" s="92">
        <f>K25</f>
        <v>28416</v>
      </c>
      <c r="M44" s="93" t="s">
        <v>771</v>
      </c>
      <c r="O44" s="92">
        <f>Q25</f>
        <v>24268</v>
      </c>
      <c r="S44" s="93" t="s">
        <v>771</v>
      </c>
      <c r="U44" s="92">
        <f>W25</f>
        <v>20438</v>
      </c>
      <c r="Y44" s="93" t="s">
        <v>771</v>
      </c>
      <c r="AA44" s="92">
        <f>AC25</f>
        <v>21074</v>
      </c>
      <c r="AE44" s="93" t="s">
        <v>771</v>
      </c>
      <c r="AG44" s="92">
        <f>AI25</f>
        <v>17362</v>
      </c>
      <c r="AK44" s="93" t="s">
        <v>771</v>
      </c>
      <c r="AM44" s="92">
        <f>AO25</f>
        <v>26188</v>
      </c>
      <c r="AQ44" s="93" t="s">
        <v>771</v>
      </c>
      <c r="AS44" s="92">
        <f>AU25</f>
        <v>17898</v>
      </c>
      <c r="AW44" s="93" t="s">
        <v>771</v>
      </c>
      <c r="AY44" s="92">
        <f>BA25</f>
        <v>18767</v>
      </c>
      <c r="BC44" s="93" t="s">
        <v>771</v>
      </c>
      <c r="BE44" s="92">
        <f>BG25</f>
        <v>20462</v>
      </c>
      <c r="BI44" s="93" t="s">
        <v>771</v>
      </c>
      <c r="BK44" s="92">
        <f>BM25</f>
        <v>20418</v>
      </c>
      <c r="BO44" s="93" t="s">
        <v>771</v>
      </c>
      <c r="BQ44" s="92">
        <f>BS25</f>
        <v>21987</v>
      </c>
    </row>
    <row r="45" spans="1:72">
      <c r="A45" s="473" t="s">
        <v>966</v>
      </c>
      <c r="B45" s="70"/>
      <c r="C45" s="71"/>
      <c r="D45" s="91"/>
      <c r="E45" s="91"/>
      <c r="F45" s="91"/>
    </row>
    <row r="46" spans="1:72">
      <c r="A46" s="474" t="s">
        <v>55</v>
      </c>
      <c r="B46" s="33"/>
      <c r="C46" s="308">
        <f>SUM(C40,I40,O40,U40,AA40,AG40,AM40,AS40,AY40,BE40,BK40,BQ40)</f>
        <v>49570491</v>
      </c>
    </row>
    <row r="47" spans="1:72">
      <c r="A47" s="474" t="s">
        <v>56</v>
      </c>
      <c r="B47" s="33"/>
      <c r="C47" s="308">
        <f>SUM(C41,I41,O41,U41,AA41,AG41,AM41,AS41,AY41,BE41,BK41,BQ41)</f>
        <v>59607254</v>
      </c>
    </row>
    <row r="48" spans="1:72">
      <c r="A48" s="474" t="s">
        <v>57</v>
      </c>
      <c r="B48" s="33"/>
      <c r="C48" s="308">
        <f t="shared" ref="C48:C50" si="0">SUM(C42,I42,O42,U42,AA42,AG42,AM42,AS42,AY42,BE42,BK42,BQ42)</f>
        <v>13768640</v>
      </c>
    </row>
    <row r="49" spans="1:15">
      <c r="A49" s="474" t="s">
        <v>772</v>
      </c>
      <c r="B49" s="33"/>
      <c r="C49" s="308">
        <f t="shared" si="0"/>
        <v>4966637.1500000004</v>
      </c>
    </row>
    <row r="50" spans="1:15">
      <c r="A50" s="475" t="s">
        <v>771</v>
      </c>
      <c r="B50" s="45"/>
      <c r="C50" s="476">
        <f t="shared" si="0"/>
        <v>263961</v>
      </c>
    </row>
    <row r="53" spans="1:15">
      <c r="G53" s="94" t="s">
        <v>718</v>
      </c>
      <c r="H53" s="95"/>
      <c r="I53" s="95"/>
      <c r="J53" s="96" t="s">
        <v>719</v>
      </c>
      <c r="K53" s="96" t="s">
        <v>720</v>
      </c>
      <c r="L53" s="97" t="s">
        <v>721</v>
      </c>
    </row>
    <row r="54" spans="1:15">
      <c r="G54" s="637" t="s">
        <v>722</v>
      </c>
      <c r="H54" s="637" t="s">
        <v>723</v>
      </c>
      <c r="I54" s="638"/>
      <c r="J54" s="639">
        <v>7</v>
      </c>
      <c r="K54" s="640">
        <f t="shared" ref="K54:K86" si="1">SUM(E5,K5,Q5,W5,AI5,AC5,AO5,AU5,BA5,BG5,BM5,BS5)</f>
        <v>1925493</v>
      </c>
      <c r="L54" s="641">
        <v>283.92</v>
      </c>
    </row>
    <row r="55" spans="1:15">
      <c r="G55" s="637" t="s">
        <v>724</v>
      </c>
      <c r="H55" s="637" t="s">
        <v>725</v>
      </c>
      <c r="I55" s="638"/>
      <c r="J55" s="639">
        <v>6</v>
      </c>
      <c r="K55" s="640">
        <f t="shared" si="1"/>
        <v>9648672</v>
      </c>
      <c r="L55" s="641">
        <v>2043.2</v>
      </c>
    </row>
    <row r="56" spans="1:15">
      <c r="G56" s="637" t="s">
        <v>726</v>
      </c>
      <c r="H56" s="637" t="s">
        <v>727</v>
      </c>
      <c r="I56" s="638"/>
      <c r="J56" s="639">
        <v>1</v>
      </c>
      <c r="K56" s="640">
        <f t="shared" si="1"/>
        <v>89831</v>
      </c>
      <c r="L56" s="641">
        <v>28.52</v>
      </c>
    </row>
    <row r="57" spans="1:15">
      <c r="G57" s="637" t="s">
        <v>728</v>
      </c>
      <c r="H57" s="637" t="s">
        <v>729</v>
      </c>
      <c r="I57" s="638"/>
      <c r="J57" s="639">
        <v>43</v>
      </c>
      <c r="K57" s="640">
        <f t="shared" si="1"/>
        <v>17854985</v>
      </c>
      <c r="L57" s="641">
        <v>3647.4</v>
      </c>
    </row>
    <row r="58" spans="1:15">
      <c r="G58" s="637" t="s">
        <v>730</v>
      </c>
      <c r="H58" s="637" t="s">
        <v>731</v>
      </c>
      <c r="I58" s="638"/>
      <c r="J58" s="639">
        <v>19</v>
      </c>
      <c r="K58" s="640">
        <f t="shared" si="1"/>
        <v>13262648</v>
      </c>
      <c r="L58" s="641">
        <v>3161.51</v>
      </c>
    </row>
    <row r="59" spans="1:15">
      <c r="G59" s="637" t="s">
        <v>732</v>
      </c>
      <c r="H59" s="637" t="s">
        <v>733</v>
      </c>
      <c r="I59" s="638"/>
      <c r="J59" s="639">
        <v>19</v>
      </c>
      <c r="K59" s="640">
        <f t="shared" si="1"/>
        <v>13807260</v>
      </c>
      <c r="L59" s="641">
        <v>2840.18</v>
      </c>
    </row>
    <row r="60" spans="1:15">
      <c r="G60" s="642" t="s">
        <v>734</v>
      </c>
      <c r="H60" s="638"/>
      <c r="I60" s="638"/>
      <c r="J60" s="639">
        <v>95</v>
      </c>
      <c r="K60" s="640">
        <f t="shared" si="1"/>
        <v>56588889</v>
      </c>
      <c r="L60" s="641">
        <v>12004.73</v>
      </c>
    </row>
    <row r="61" spans="1:15">
      <c r="G61" s="638"/>
      <c r="H61" s="638"/>
      <c r="I61" s="638"/>
      <c r="J61" s="638"/>
      <c r="K61" s="640">
        <f t="shared" si="1"/>
        <v>0</v>
      </c>
      <c r="L61" s="638"/>
    </row>
    <row r="62" spans="1:15">
      <c r="G62" s="637" t="s">
        <v>735</v>
      </c>
      <c r="H62" s="637" t="s">
        <v>736</v>
      </c>
      <c r="I62" s="638"/>
      <c r="J62" s="639">
        <v>242</v>
      </c>
      <c r="K62" s="640">
        <f t="shared" si="1"/>
        <v>139933085</v>
      </c>
      <c r="L62" s="641">
        <v>26259.360000000001</v>
      </c>
    </row>
    <row r="63" spans="1:15">
      <c r="G63" s="637" t="s">
        <v>737</v>
      </c>
      <c r="H63" s="637" t="s">
        <v>738</v>
      </c>
      <c r="I63" s="638"/>
      <c r="J63" s="639">
        <v>3</v>
      </c>
      <c r="K63" s="640">
        <f t="shared" si="1"/>
        <v>7795872</v>
      </c>
      <c r="L63" s="641">
        <v>2002.06</v>
      </c>
      <c r="O63" s="297"/>
    </row>
    <row r="64" spans="1:15">
      <c r="G64" s="642" t="s">
        <v>739</v>
      </c>
      <c r="H64" s="638"/>
      <c r="I64" s="638"/>
      <c r="J64" s="639">
        <v>245</v>
      </c>
      <c r="K64" s="640">
        <f t="shared" si="1"/>
        <v>147728957</v>
      </c>
      <c r="L64" s="641">
        <v>28261.42</v>
      </c>
    </row>
    <row r="65" spans="7:14">
      <c r="G65" s="638"/>
      <c r="H65" s="638"/>
      <c r="I65" s="638"/>
      <c r="J65" s="638"/>
      <c r="K65" s="640">
        <f t="shared" si="1"/>
        <v>0</v>
      </c>
      <c r="L65" s="638"/>
    </row>
    <row r="66" spans="7:14">
      <c r="G66" s="637" t="s">
        <v>740</v>
      </c>
      <c r="H66" s="637" t="s">
        <v>741</v>
      </c>
      <c r="I66" s="638"/>
      <c r="J66" s="639">
        <v>4</v>
      </c>
      <c r="K66" s="640">
        <f t="shared" si="1"/>
        <v>1161176</v>
      </c>
      <c r="L66" s="641">
        <v>279.59999999999997</v>
      </c>
    </row>
    <row r="67" spans="7:14">
      <c r="G67" s="637" t="s">
        <v>742</v>
      </c>
      <c r="H67" s="637" t="s">
        <v>743</v>
      </c>
      <c r="I67" s="638"/>
      <c r="J67" s="639">
        <v>2</v>
      </c>
      <c r="K67" s="640">
        <f t="shared" si="1"/>
        <v>5279712</v>
      </c>
      <c r="L67" s="641">
        <v>800.64</v>
      </c>
      <c r="N67" s="297">
        <f>SUM(K71,K73,K74,K79)</f>
        <v>3880569.15</v>
      </c>
    </row>
    <row r="68" spans="7:14">
      <c r="G68" s="637" t="s">
        <v>744</v>
      </c>
      <c r="H68" s="637" t="s">
        <v>745</v>
      </c>
      <c r="I68" s="638"/>
      <c r="J68" s="639">
        <v>95</v>
      </c>
      <c r="K68" s="640">
        <f t="shared" si="1"/>
        <v>17242158</v>
      </c>
      <c r="L68" s="641">
        <v>4265.42</v>
      </c>
    </row>
    <row r="69" spans="7:14">
      <c r="G69" s="637" t="s">
        <v>746</v>
      </c>
      <c r="H69" s="637" t="s">
        <v>747</v>
      </c>
      <c r="I69" s="638"/>
      <c r="J69" s="639">
        <v>26</v>
      </c>
      <c r="K69" s="640">
        <f t="shared" si="1"/>
        <v>24783133</v>
      </c>
      <c r="L69" s="641">
        <v>4590.1499999999996</v>
      </c>
    </row>
    <row r="70" spans="7:14">
      <c r="G70" s="637" t="s">
        <v>748</v>
      </c>
      <c r="H70" s="637" t="s">
        <v>749</v>
      </c>
      <c r="I70" s="638"/>
      <c r="J70" s="639">
        <v>562</v>
      </c>
      <c r="K70" s="640">
        <f t="shared" si="1"/>
        <v>12177303</v>
      </c>
      <c r="L70" s="641">
        <v>2742.5</v>
      </c>
    </row>
    <row r="71" spans="7:14">
      <c r="G71" s="637" t="s">
        <v>750</v>
      </c>
      <c r="H71" s="637" t="s">
        <v>751</v>
      </c>
      <c r="I71" s="638"/>
      <c r="J71" s="639">
        <v>52</v>
      </c>
      <c r="K71" s="640">
        <f t="shared" si="1"/>
        <v>124948</v>
      </c>
      <c r="L71" s="641">
        <v>0</v>
      </c>
    </row>
    <row r="72" spans="7:14">
      <c r="G72" s="637" t="s">
        <v>752</v>
      </c>
      <c r="H72" s="637" t="s">
        <v>753</v>
      </c>
      <c r="I72" s="638"/>
      <c r="J72" s="639">
        <v>5</v>
      </c>
      <c r="K72" s="640">
        <f t="shared" si="1"/>
        <v>13768640</v>
      </c>
      <c r="L72" s="641">
        <v>2257.6</v>
      </c>
    </row>
    <row r="73" spans="7:14">
      <c r="G73" s="637" t="s">
        <v>754</v>
      </c>
      <c r="H73" s="637" t="s">
        <v>755</v>
      </c>
      <c r="I73" s="638"/>
      <c r="J73" s="639">
        <v>57</v>
      </c>
      <c r="K73" s="640">
        <f t="shared" si="1"/>
        <v>2881739</v>
      </c>
      <c r="L73" s="641">
        <v>465.52</v>
      </c>
    </row>
    <row r="74" spans="7:14">
      <c r="G74" s="637" t="s">
        <v>756</v>
      </c>
      <c r="H74" s="637" t="s">
        <v>757</v>
      </c>
      <c r="I74" s="638"/>
      <c r="J74" s="639">
        <v>10</v>
      </c>
      <c r="K74" s="640">
        <f t="shared" si="1"/>
        <v>263961</v>
      </c>
      <c r="L74" s="641">
        <v>122.08</v>
      </c>
    </row>
    <row r="75" spans="7:14">
      <c r="G75" s="637" t="s">
        <v>758</v>
      </c>
      <c r="H75" s="637" t="s">
        <v>759</v>
      </c>
      <c r="I75" s="638"/>
      <c r="J75" s="639">
        <v>9</v>
      </c>
      <c r="K75" s="640">
        <f t="shared" si="1"/>
        <v>1415525</v>
      </c>
      <c r="L75" s="641">
        <v>520</v>
      </c>
    </row>
    <row r="76" spans="7:14">
      <c r="G76" s="637" t="s">
        <v>760</v>
      </c>
      <c r="H76" s="637" t="s">
        <v>761</v>
      </c>
      <c r="I76" s="638"/>
      <c r="J76" s="639">
        <v>7</v>
      </c>
      <c r="K76" s="640">
        <f t="shared" si="1"/>
        <v>59452</v>
      </c>
      <c r="L76" s="641">
        <v>32</v>
      </c>
    </row>
    <row r="77" spans="7:14">
      <c r="G77" s="642" t="s">
        <v>56</v>
      </c>
      <c r="H77" s="638"/>
      <c r="I77" s="638"/>
      <c r="J77" s="639">
        <v>829</v>
      </c>
      <c r="K77" s="640">
        <f t="shared" si="1"/>
        <v>79157747</v>
      </c>
      <c r="L77" s="641">
        <v>16075.51</v>
      </c>
    </row>
    <row r="78" spans="7:14">
      <c r="G78" s="638"/>
      <c r="H78" s="638"/>
      <c r="I78" s="638"/>
      <c r="J78" s="638"/>
      <c r="K78" s="640">
        <f t="shared" si="1"/>
        <v>21005317</v>
      </c>
      <c r="L78" s="638"/>
    </row>
    <row r="79" spans="7:14">
      <c r="G79" s="637" t="s">
        <v>762</v>
      </c>
      <c r="H79" s="637" t="s">
        <v>763</v>
      </c>
      <c r="I79" s="638"/>
      <c r="J79" s="639">
        <v>1</v>
      </c>
      <c r="K79" s="640">
        <f t="shared" si="1"/>
        <v>609921.15</v>
      </c>
      <c r="L79" s="641">
        <v>0</v>
      </c>
    </row>
    <row r="80" spans="7:14">
      <c r="G80" s="642" t="s">
        <v>604</v>
      </c>
      <c r="H80" s="638"/>
      <c r="I80" s="638"/>
      <c r="J80" s="639">
        <v>1</v>
      </c>
      <c r="K80" s="640">
        <f t="shared" si="1"/>
        <v>609921.15</v>
      </c>
      <c r="L80" s="641">
        <v>0</v>
      </c>
    </row>
    <row r="81" spans="1:12">
      <c r="G81" s="638"/>
      <c r="H81" s="638"/>
      <c r="I81" s="638"/>
      <c r="J81" s="638"/>
      <c r="K81" s="640">
        <f t="shared" si="1"/>
        <v>0</v>
      </c>
      <c r="L81" s="638"/>
    </row>
    <row r="82" spans="1:12">
      <c r="G82" s="637" t="s">
        <v>764</v>
      </c>
      <c r="H82" s="637" t="s">
        <v>765</v>
      </c>
      <c r="I82" s="638"/>
      <c r="J82" s="639">
        <v>37</v>
      </c>
      <c r="K82" s="640">
        <f t="shared" si="1"/>
        <v>653083</v>
      </c>
      <c r="L82" s="641">
        <v>0</v>
      </c>
    </row>
    <row r="83" spans="1:12">
      <c r="G83" s="642" t="s">
        <v>766</v>
      </c>
      <c r="H83" s="638"/>
      <c r="I83" s="638"/>
      <c r="J83" s="639">
        <v>37</v>
      </c>
      <c r="K83" s="640">
        <f t="shared" si="1"/>
        <v>653083</v>
      </c>
      <c r="L83" s="641">
        <v>0</v>
      </c>
    </row>
    <row r="84" spans="1:12">
      <c r="G84" s="638"/>
      <c r="H84" s="638"/>
      <c r="I84" s="638"/>
      <c r="J84" s="638"/>
      <c r="K84" s="640">
        <f t="shared" si="1"/>
        <v>0</v>
      </c>
      <c r="L84" s="638"/>
    </row>
    <row r="85" spans="1:12">
      <c r="G85" s="637" t="s">
        <v>767</v>
      </c>
      <c r="H85" s="637" t="s">
        <v>768</v>
      </c>
      <c r="I85" s="638"/>
      <c r="J85" s="639">
        <v>4998</v>
      </c>
      <c r="K85" s="640">
        <f t="shared" si="1"/>
        <v>49570491</v>
      </c>
      <c r="L85" s="641">
        <v>728.13</v>
      </c>
    </row>
    <row r="86" spans="1:12">
      <c r="G86" s="642" t="s">
        <v>769</v>
      </c>
      <c r="H86" s="638"/>
      <c r="I86" s="638"/>
      <c r="J86" s="639">
        <v>4998</v>
      </c>
      <c r="K86" s="640">
        <f t="shared" si="1"/>
        <v>49570491</v>
      </c>
      <c r="L86" s="641">
        <v>728.13</v>
      </c>
    </row>
    <row r="87" spans="1:12">
      <c r="A87" s="104"/>
      <c r="B87" s="100"/>
      <c r="C87" s="100"/>
      <c r="D87" s="100"/>
      <c r="E87" s="100"/>
      <c r="F87" s="105"/>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BT50"/>
  <sheetViews>
    <sheetView topLeftCell="AM1" zoomScale="60" zoomScaleNormal="60" workbookViewId="0">
      <selection activeCell="BQ40" activeCellId="11" sqref="C40 I40 O40 U40 AA40 AG40 AM40 AS40 AY40 BE40 BK40 BQ40"/>
    </sheetView>
  </sheetViews>
  <sheetFormatPr defaultRowHeight="15"/>
  <cols>
    <col min="1" max="1" width="15.42578125" bestFit="1" customWidth="1"/>
    <col min="2" max="2" width="23.28515625" bestFit="1" customWidth="1"/>
    <col min="3" max="3" width="13.5703125" customWidth="1"/>
    <col min="4" max="6" width="14.140625" bestFit="1" customWidth="1"/>
    <col min="11" max="11" width="10.140625" bestFit="1" customWidth="1"/>
    <col min="17" max="17" width="10.140625" bestFit="1" customWidth="1"/>
    <col min="23" max="23" width="9.85546875" bestFit="1" customWidth="1"/>
    <col min="29" max="29" width="10.140625" bestFit="1" customWidth="1"/>
    <col min="35" max="35" width="10.140625" bestFit="1" customWidth="1"/>
    <col min="41" max="41" width="9.85546875" bestFit="1" customWidth="1"/>
    <col min="47" max="47" width="9.85546875" bestFit="1" customWidth="1"/>
    <col min="53" max="53" width="9.85546875" bestFit="1" customWidth="1"/>
    <col min="59" max="59" width="9.85546875" bestFit="1" customWidth="1"/>
    <col min="65" max="65" width="9.85546875" bestFit="1" customWidth="1"/>
    <col min="71" max="71" width="9.85546875" bestFit="1" customWidth="1"/>
  </cols>
  <sheetData>
    <row r="1" spans="1:72">
      <c r="A1" s="900" t="s">
        <v>2263</v>
      </c>
      <c r="B1" s="901"/>
      <c r="C1" s="902"/>
      <c r="D1" s="12"/>
      <c r="E1" s="12"/>
      <c r="F1" s="12"/>
      <c r="G1" s="12"/>
    </row>
    <row r="3" spans="1:72" s="1" customFormat="1">
      <c r="A3" s="1" t="s">
        <v>11</v>
      </c>
      <c r="G3" s="1" t="s">
        <v>12</v>
      </c>
      <c r="M3" s="1" t="s">
        <v>13</v>
      </c>
      <c r="S3" s="1" t="s">
        <v>14</v>
      </c>
      <c r="Y3" s="1" t="s">
        <v>15</v>
      </c>
      <c r="AE3" s="1" t="s">
        <v>16</v>
      </c>
      <c r="AK3" s="1" t="s">
        <v>17</v>
      </c>
      <c r="AQ3" s="1" t="s">
        <v>18</v>
      </c>
      <c r="AW3" s="1" t="s">
        <v>19</v>
      </c>
      <c r="BC3" s="1" t="s">
        <v>20</v>
      </c>
      <c r="BI3" s="1" t="s">
        <v>21</v>
      </c>
      <c r="BO3" s="1" t="s">
        <v>22</v>
      </c>
    </row>
    <row r="4" spans="1:72">
      <c r="A4" s="337" t="s">
        <v>718</v>
      </c>
      <c r="B4" s="91"/>
      <c r="C4" s="91"/>
      <c r="D4" s="338" t="s">
        <v>719</v>
      </c>
      <c r="E4" s="338" t="s">
        <v>720</v>
      </c>
      <c r="F4" s="338" t="s">
        <v>721</v>
      </c>
      <c r="G4" s="337" t="s">
        <v>718</v>
      </c>
      <c r="H4" s="91"/>
      <c r="I4" s="91"/>
      <c r="J4" s="338" t="s">
        <v>719</v>
      </c>
      <c r="K4" s="338" t="s">
        <v>720</v>
      </c>
      <c r="L4" s="338" t="s">
        <v>721</v>
      </c>
      <c r="M4" s="346" t="s">
        <v>718</v>
      </c>
      <c r="N4" s="347"/>
      <c r="O4" s="347"/>
      <c r="P4" s="348" t="s">
        <v>719</v>
      </c>
      <c r="Q4" s="348" t="s">
        <v>720</v>
      </c>
      <c r="R4" s="348" t="s">
        <v>721</v>
      </c>
      <c r="S4" s="337" t="s">
        <v>718</v>
      </c>
      <c r="T4" s="91"/>
      <c r="U4" s="91"/>
      <c r="V4" s="338" t="s">
        <v>719</v>
      </c>
      <c r="W4" s="338" t="s">
        <v>720</v>
      </c>
      <c r="X4" s="338" t="s">
        <v>721</v>
      </c>
      <c r="Y4" s="337" t="s">
        <v>718</v>
      </c>
      <c r="Z4" s="91"/>
      <c r="AA4" s="91"/>
      <c r="AB4" s="338" t="s">
        <v>719</v>
      </c>
      <c r="AC4" s="338" t="s">
        <v>720</v>
      </c>
      <c r="AD4" s="338" t="s">
        <v>721</v>
      </c>
      <c r="AE4" s="337" t="s">
        <v>718</v>
      </c>
      <c r="AF4" s="91"/>
      <c r="AG4" s="91"/>
      <c r="AH4" s="338" t="s">
        <v>719</v>
      </c>
      <c r="AI4" s="338" t="s">
        <v>720</v>
      </c>
      <c r="AJ4" s="338" t="s">
        <v>721</v>
      </c>
      <c r="AK4" s="337" t="s">
        <v>718</v>
      </c>
      <c r="AL4" s="91"/>
      <c r="AM4" s="91"/>
      <c r="AN4" s="338" t="s">
        <v>719</v>
      </c>
      <c r="AO4" s="338" t="s">
        <v>720</v>
      </c>
      <c r="AP4" s="338" t="s">
        <v>721</v>
      </c>
      <c r="AQ4" s="337" t="s">
        <v>718</v>
      </c>
      <c r="AR4" s="91"/>
      <c r="AS4" s="91"/>
      <c r="AT4" s="338" t="s">
        <v>719</v>
      </c>
      <c r="AU4" s="338" t="s">
        <v>720</v>
      </c>
      <c r="AV4" s="338" t="s">
        <v>721</v>
      </c>
      <c r="AW4" s="337" t="s">
        <v>718</v>
      </c>
      <c r="AX4" s="91"/>
      <c r="AY4" s="91"/>
      <c r="AZ4" s="338" t="s">
        <v>719</v>
      </c>
      <c r="BA4" s="338" t="s">
        <v>720</v>
      </c>
      <c r="BB4" s="338" t="s">
        <v>721</v>
      </c>
      <c r="BC4" s="337" t="s">
        <v>718</v>
      </c>
      <c r="BD4" s="91"/>
      <c r="BE4" s="91"/>
      <c r="BF4" s="338" t="s">
        <v>719</v>
      </c>
      <c r="BG4" s="338" t="s">
        <v>720</v>
      </c>
      <c r="BH4" s="338" t="s">
        <v>721</v>
      </c>
      <c r="BI4" s="337" t="s">
        <v>718</v>
      </c>
      <c r="BJ4" s="91"/>
      <c r="BK4" s="91"/>
      <c r="BL4" s="338" t="s">
        <v>719</v>
      </c>
      <c r="BM4" s="338" t="s">
        <v>720</v>
      </c>
      <c r="BN4" s="338" t="s">
        <v>721</v>
      </c>
      <c r="BO4" s="337" t="s">
        <v>718</v>
      </c>
      <c r="BP4" s="91"/>
      <c r="BQ4" s="91"/>
      <c r="BR4" s="338" t="s">
        <v>719</v>
      </c>
      <c r="BS4" s="338" t="s">
        <v>720</v>
      </c>
      <c r="BT4" s="338" t="s">
        <v>721</v>
      </c>
    </row>
    <row r="5" spans="1:72">
      <c r="A5" s="339" t="s">
        <v>722</v>
      </c>
      <c r="B5" s="339" t="s">
        <v>723</v>
      </c>
      <c r="C5" s="91"/>
      <c r="D5" s="340">
        <v>7</v>
      </c>
      <c r="E5" s="340">
        <v>140103</v>
      </c>
      <c r="F5" s="341">
        <v>221.04</v>
      </c>
      <c r="G5" s="339" t="s">
        <v>722</v>
      </c>
      <c r="H5" s="339" t="s">
        <v>723</v>
      </c>
      <c r="I5" s="91"/>
      <c r="J5" s="340">
        <v>7</v>
      </c>
      <c r="K5" s="340">
        <v>116297</v>
      </c>
      <c r="L5" s="341">
        <v>210.56</v>
      </c>
      <c r="M5" s="349" t="s">
        <v>722</v>
      </c>
      <c r="N5" s="349" t="s">
        <v>723</v>
      </c>
      <c r="O5" s="347"/>
      <c r="P5" s="350">
        <v>7</v>
      </c>
      <c r="Q5" s="350">
        <v>129516</v>
      </c>
      <c r="R5" s="351">
        <v>222.32</v>
      </c>
      <c r="S5" s="339" t="s">
        <v>722</v>
      </c>
      <c r="T5" s="339" t="s">
        <v>723</v>
      </c>
      <c r="U5" s="91"/>
      <c r="V5" s="340">
        <v>7</v>
      </c>
      <c r="W5" s="340">
        <v>136651</v>
      </c>
      <c r="X5" s="341">
        <v>228.88</v>
      </c>
      <c r="Y5" s="339" t="s">
        <v>722</v>
      </c>
      <c r="Z5" s="339" t="s">
        <v>723</v>
      </c>
      <c r="AA5" s="91"/>
      <c r="AB5" s="340">
        <v>7</v>
      </c>
      <c r="AC5" s="340">
        <v>139281</v>
      </c>
      <c r="AD5" s="341">
        <v>241.6</v>
      </c>
      <c r="AE5" s="339" t="s">
        <v>722</v>
      </c>
      <c r="AF5" s="339" t="s">
        <v>723</v>
      </c>
      <c r="AG5" s="91"/>
      <c r="AH5" s="340">
        <v>7</v>
      </c>
      <c r="AI5" s="340">
        <v>162677</v>
      </c>
      <c r="AJ5" s="341">
        <v>251.44</v>
      </c>
      <c r="AK5" s="339" t="s">
        <v>722</v>
      </c>
      <c r="AL5" s="339" t="s">
        <v>723</v>
      </c>
      <c r="AM5" s="91"/>
      <c r="AN5" s="340">
        <v>7</v>
      </c>
      <c r="AO5" s="340">
        <v>142186</v>
      </c>
      <c r="AP5" s="341">
        <v>254.32</v>
      </c>
      <c r="AQ5" s="339" t="s">
        <v>722</v>
      </c>
      <c r="AR5" s="339" t="s">
        <v>723</v>
      </c>
      <c r="AS5" s="91"/>
      <c r="AT5" s="340">
        <v>7</v>
      </c>
      <c r="AU5" s="340">
        <v>175964</v>
      </c>
      <c r="AV5" s="341">
        <v>260.88</v>
      </c>
      <c r="AW5" s="339" t="s">
        <v>722</v>
      </c>
      <c r="AX5" s="339" t="s">
        <v>723</v>
      </c>
      <c r="AY5" s="91"/>
      <c r="AZ5" s="340">
        <v>7</v>
      </c>
      <c r="BA5" s="340">
        <v>150617</v>
      </c>
      <c r="BB5" s="341">
        <v>246.32</v>
      </c>
      <c r="BC5" s="339" t="s">
        <v>722</v>
      </c>
      <c r="BD5" s="339" t="s">
        <v>723</v>
      </c>
      <c r="BE5" s="91"/>
      <c r="BF5" s="340">
        <v>7</v>
      </c>
      <c r="BG5" s="340">
        <v>132073</v>
      </c>
      <c r="BH5" s="341">
        <v>262.56</v>
      </c>
      <c r="BI5" s="339" t="s">
        <v>722</v>
      </c>
      <c r="BJ5" s="339" t="s">
        <v>723</v>
      </c>
      <c r="BK5" s="91"/>
      <c r="BL5" s="340">
        <v>7</v>
      </c>
      <c r="BM5" s="340">
        <v>128693</v>
      </c>
      <c r="BN5" s="341">
        <v>248.16</v>
      </c>
      <c r="BO5" s="339" t="s">
        <v>722</v>
      </c>
      <c r="BP5" s="339" t="s">
        <v>723</v>
      </c>
      <c r="BQ5" s="91"/>
      <c r="BR5" s="340">
        <v>7</v>
      </c>
      <c r="BS5" s="340">
        <v>124882</v>
      </c>
      <c r="BT5" s="341">
        <v>243.12</v>
      </c>
    </row>
    <row r="6" spans="1:72">
      <c r="A6" s="339" t="s">
        <v>724</v>
      </c>
      <c r="B6" s="339" t="s">
        <v>725</v>
      </c>
      <c r="C6" s="91"/>
      <c r="D6" s="340">
        <v>6</v>
      </c>
      <c r="E6" s="340">
        <v>475656</v>
      </c>
      <c r="F6" s="341">
        <v>1929.12</v>
      </c>
      <c r="G6" s="339" t="s">
        <v>724</v>
      </c>
      <c r="H6" s="339" t="s">
        <v>725</v>
      </c>
      <c r="I6" s="91"/>
      <c r="J6" s="340">
        <v>6</v>
      </c>
      <c r="K6" s="340">
        <v>641688</v>
      </c>
      <c r="L6" s="341">
        <v>1922.8</v>
      </c>
      <c r="M6" s="349" t="s">
        <v>724</v>
      </c>
      <c r="N6" s="349" t="s">
        <v>725</v>
      </c>
      <c r="O6" s="347"/>
      <c r="P6" s="350">
        <v>6</v>
      </c>
      <c r="Q6" s="350">
        <v>756656</v>
      </c>
      <c r="R6" s="351">
        <v>2081.2800000000002</v>
      </c>
      <c r="S6" s="339" t="s">
        <v>724</v>
      </c>
      <c r="T6" s="339" t="s">
        <v>725</v>
      </c>
      <c r="U6" s="91"/>
      <c r="V6" s="340">
        <v>6</v>
      </c>
      <c r="W6" s="340">
        <v>890288</v>
      </c>
      <c r="X6" s="341">
        <v>2476</v>
      </c>
      <c r="Y6" s="339" t="s">
        <v>724</v>
      </c>
      <c r="Z6" s="339" t="s">
        <v>725</v>
      </c>
      <c r="AA6" s="91"/>
      <c r="AB6" s="340">
        <v>6</v>
      </c>
      <c r="AC6" s="340">
        <v>921496</v>
      </c>
      <c r="AD6" s="341">
        <v>2263.6799999999998</v>
      </c>
      <c r="AE6" s="339" t="s">
        <v>724</v>
      </c>
      <c r="AF6" s="339" t="s">
        <v>725</v>
      </c>
      <c r="AG6" s="91"/>
      <c r="AH6" s="340">
        <v>6</v>
      </c>
      <c r="AI6" s="340">
        <v>944416</v>
      </c>
      <c r="AJ6" s="341">
        <v>1759.44</v>
      </c>
      <c r="AK6" s="339" t="s">
        <v>724</v>
      </c>
      <c r="AL6" s="339" t="s">
        <v>725</v>
      </c>
      <c r="AM6" s="91"/>
      <c r="AN6" s="340">
        <v>6</v>
      </c>
      <c r="AO6" s="340">
        <v>883856</v>
      </c>
      <c r="AP6" s="341">
        <v>1982.24</v>
      </c>
      <c r="AQ6" s="339" t="s">
        <v>724</v>
      </c>
      <c r="AR6" s="339" t="s">
        <v>725</v>
      </c>
      <c r="AS6" s="91"/>
      <c r="AT6" s="340">
        <v>6</v>
      </c>
      <c r="AU6" s="340">
        <v>1148008</v>
      </c>
      <c r="AV6" s="341">
        <v>2369.44</v>
      </c>
      <c r="AW6" s="339" t="s">
        <v>724</v>
      </c>
      <c r="AX6" s="339" t="s">
        <v>725</v>
      </c>
      <c r="AY6" s="91"/>
      <c r="AZ6" s="340">
        <v>6</v>
      </c>
      <c r="BA6" s="340">
        <v>1068224</v>
      </c>
      <c r="BB6" s="341">
        <v>2447.12</v>
      </c>
      <c r="BC6" s="339" t="s">
        <v>724</v>
      </c>
      <c r="BD6" s="339" t="s">
        <v>725</v>
      </c>
      <c r="BE6" s="91"/>
      <c r="BF6" s="340">
        <v>6</v>
      </c>
      <c r="BG6" s="340">
        <v>901832</v>
      </c>
      <c r="BH6" s="341">
        <v>2075.1999999999998</v>
      </c>
      <c r="BI6" s="339" t="s">
        <v>724</v>
      </c>
      <c r="BJ6" s="339" t="s">
        <v>725</v>
      </c>
      <c r="BK6" s="91"/>
      <c r="BL6" s="340">
        <v>6</v>
      </c>
      <c r="BM6" s="340">
        <v>711944</v>
      </c>
      <c r="BN6" s="341">
        <v>2242.4</v>
      </c>
      <c r="BO6" s="339" t="s">
        <v>724</v>
      </c>
      <c r="BP6" s="339" t="s">
        <v>725</v>
      </c>
      <c r="BQ6" s="91"/>
      <c r="BR6" s="340">
        <v>6</v>
      </c>
      <c r="BS6" s="340">
        <v>629720</v>
      </c>
      <c r="BT6" s="341">
        <v>2017.2</v>
      </c>
    </row>
    <row r="7" spans="1:72">
      <c r="A7" s="339" t="s">
        <v>726</v>
      </c>
      <c r="B7" s="339" t="s">
        <v>727</v>
      </c>
      <c r="C7" s="91"/>
      <c r="D7" s="340">
        <v>17</v>
      </c>
      <c r="E7" s="340">
        <v>137385</v>
      </c>
      <c r="F7" s="341">
        <v>143.81</v>
      </c>
      <c r="G7" s="339" t="s">
        <v>726</v>
      </c>
      <c r="H7" s="339" t="s">
        <v>727</v>
      </c>
      <c r="I7" s="91"/>
      <c r="J7" s="340">
        <v>16</v>
      </c>
      <c r="K7" s="340">
        <v>106918</v>
      </c>
      <c r="L7" s="341">
        <v>140.74</v>
      </c>
      <c r="M7" s="349" t="s">
        <v>726</v>
      </c>
      <c r="N7" s="349" t="s">
        <v>727</v>
      </c>
      <c r="O7" s="347"/>
      <c r="P7" s="350">
        <v>16</v>
      </c>
      <c r="Q7" s="350">
        <v>94775</v>
      </c>
      <c r="R7" s="351">
        <v>125.68</v>
      </c>
      <c r="S7" s="339" t="s">
        <v>726</v>
      </c>
      <c r="T7" s="339" t="s">
        <v>727</v>
      </c>
      <c r="U7" s="91"/>
      <c r="V7" s="340">
        <v>16</v>
      </c>
      <c r="W7" s="340">
        <v>97610</v>
      </c>
      <c r="X7" s="341">
        <v>128.06</v>
      </c>
      <c r="Y7" s="339" t="s">
        <v>726</v>
      </c>
      <c r="Z7" s="339" t="s">
        <v>727</v>
      </c>
      <c r="AA7" s="91"/>
      <c r="AB7" s="340">
        <v>15</v>
      </c>
      <c r="AC7" s="340">
        <v>77781</v>
      </c>
      <c r="AD7" s="341">
        <v>123.88</v>
      </c>
      <c r="AE7" s="339" t="s">
        <v>726</v>
      </c>
      <c r="AF7" s="339" t="s">
        <v>727</v>
      </c>
      <c r="AG7" s="91"/>
      <c r="AH7" s="340">
        <v>15</v>
      </c>
      <c r="AI7" s="340">
        <v>81385</v>
      </c>
      <c r="AJ7" s="341">
        <v>127.68</v>
      </c>
      <c r="AK7" s="339" t="s">
        <v>726</v>
      </c>
      <c r="AL7" s="339" t="s">
        <v>727</v>
      </c>
      <c r="AM7" s="91"/>
      <c r="AN7" s="340">
        <v>2</v>
      </c>
      <c r="AO7" s="340">
        <v>32648</v>
      </c>
      <c r="AP7" s="341">
        <v>75.63</v>
      </c>
      <c r="AQ7" s="339" t="s">
        <v>726</v>
      </c>
      <c r="AR7" s="339" t="s">
        <v>727</v>
      </c>
      <c r="AS7" s="91"/>
      <c r="AT7" s="340">
        <v>2</v>
      </c>
      <c r="AU7" s="340">
        <v>42584</v>
      </c>
      <c r="AV7" s="341">
        <v>78.56</v>
      </c>
      <c r="AW7" s="339" t="s">
        <v>726</v>
      </c>
      <c r="AX7" s="339" t="s">
        <v>727</v>
      </c>
      <c r="AY7" s="91"/>
      <c r="AZ7" s="340">
        <v>2</v>
      </c>
      <c r="BA7" s="340">
        <v>38008</v>
      </c>
      <c r="BB7" s="341">
        <v>89.02</v>
      </c>
      <c r="BC7" s="339" t="s">
        <v>726</v>
      </c>
      <c r="BD7" s="339" t="s">
        <v>727</v>
      </c>
      <c r="BE7" s="91"/>
      <c r="BF7" s="340">
        <v>1</v>
      </c>
      <c r="BG7" s="340">
        <v>5640</v>
      </c>
      <c r="BH7" s="341">
        <v>22.68</v>
      </c>
      <c r="BI7" s="339" t="s">
        <v>726</v>
      </c>
      <c r="BJ7" s="339" t="s">
        <v>727</v>
      </c>
      <c r="BK7" s="91"/>
      <c r="BL7" s="340">
        <v>1</v>
      </c>
      <c r="BM7" s="340">
        <v>6080</v>
      </c>
      <c r="BN7" s="341">
        <v>24.56</v>
      </c>
      <c r="BO7" s="339" t="s">
        <v>726</v>
      </c>
      <c r="BP7" s="339" t="s">
        <v>727</v>
      </c>
      <c r="BQ7" s="91"/>
      <c r="BR7" s="340">
        <v>1</v>
      </c>
      <c r="BS7" s="340">
        <v>6760</v>
      </c>
      <c r="BT7" s="341">
        <v>26.28</v>
      </c>
    </row>
    <row r="8" spans="1:72">
      <c r="A8" s="339" t="s">
        <v>728</v>
      </c>
      <c r="B8" s="339" t="s">
        <v>729</v>
      </c>
      <c r="C8" s="91"/>
      <c r="D8" s="340">
        <v>42</v>
      </c>
      <c r="E8" s="340">
        <v>1058989</v>
      </c>
      <c r="F8" s="341">
        <v>3125.01</v>
      </c>
      <c r="G8" s="339" t="s">
        <v>728</v>
      </c>
      <c r="H8" s="339" t="s">
        <v>729</v>
      </c>
      <c r="I8" s="91"/>
      <c r="J8" s="340">
        <v>42</v>
      </c>
      <c r="K8" s="340">
        <v>1568292</v>
      </c>
      <c r="L8" s="341">
        <v>3586.88</v>
      </c>
      <c r="M8" s="349" t="s">
        <v>728</v>
      </c>
      <c r="N8" s="349" t="s">
        <v>729</v>
      </c>
      <c r="O8" s="347"/>
      <c r="P8" s="350">
        <v>42</v>
      </c>
      <c r="Q8" s="350">
        <v>1424011</v>
      </c>
      <c r="R8" s="351">
        <v>3557.12</v>
      </c>
      <c r="S8" s="339" t="s">
        <v>728</v>
      </c>
      <c r="T8" s="339" t="s">
        <v>729</v>
      </c>
      <c r="U8" s="91"/>
      <c r="V8" s="340">
        <v>42</v>
      </c>
      <c r="W8" s="340">
        <v>1649864</v>
      </c>
      <c r="X8" s="341">
        <v>3574.66</v>
      </c>
      <c r="Y8" s="339" t="s">
        <v>728</v>
      </c>
      <c r="Z8" s="339" t="s">
        <v>729</v>
      </c>
      <c r="AA8" s="91"/>
      <c r="AB8" s="340">
        <v>42</v>
      </c>
      <c r="AC8" s="340">
        <v>1419911</v>
      </c>
      <c r="AD8" s="341">
        <v>3431.23</v>
      </c>
      <c r="AE8" s="339" t="s">
        <v>728</v>
      </c>
      <c r="AF8" s="339" t="s">
        <v>729</v>
      </c>
      <c r="AG8" s="91"/>
      <c r="AH8" s="340">
        <v>42</v>
      </c>
      <c r="AI8" s="340">
        <v>938731</v>
      </c>
      <c r="AJ8" s="341">
        <v>1754.71</v>
      </c>
      <c r="AK8" s="339" t="s">
        <v>728</v>
      </c>
      <c r="AL8" s="339" t="s">
        <v>729</v>
      </c>
      <c r="AM8" s="91"/>
      <c r="AN8" s="340">
        <v>44</v>
      </c>
      <c r="AO8" s="340">
        <v>906910</v>
      </c>
      <c r="AP8" s="341">
        <v>2015.13</v>
      </c>
      <c r="AQ8" s="339" t="s">
        <v>728</v>
      </c>
      <c r="AR8" s="339" t="s">
        <v>729</v>
      </c>
      <c r="AS8" s="91"/>
      <c r="AT8" s="340">
        <v>43</v>
      </c>
      <c r="AU8" s="340">
        <v>1310221</v>
      </c>
      <c r="AV8" s="341">
        <v>3395.19</v>
      </c>
      <c r="AW8" s="339" t="s">
        <v>728</v>
      </c>
      <c r="AX8" s="339" t="s">
        <v>729</v>
      </c>
      <c r="AY8" s="91"/>
      <c r="AZ8" s="340">
        <v>43</v>
      </c>
      <c r="BA8" s="340">
        <v>1783518</v>
      </c>
      <c r="BB8" s="341">
        <v>3733.16</v>
      </c>
      <c r="BC8" s="339" t="s">
        <v>728</v>
      </c>
      <c r="BD8" s="339" t="s">
        <v>729</v>
      </c>
      <c r="BE8" s="91"/>
      <c r="BF8" s="340">
        <v>43</v>
      </c>
      <c r="BG8" s="340">
        <v>1538658</v>
      </c>
      <c r="BH8" s="341">
        <v>3550.18</v>
      </c>
      <c r="BI8" s="339" t="s">
        <v>728</v>
      </c>
      <c r="BJ8" s="339" t="s">
        <v>729</v>
      </c>
      <c r="BK8" s="91"/>
      <c r="BL8" s="340">
        <v>43</v>
      </c>
      <c r="BM8" s="340">
        <v>1617219</v>
      </c>
      <c r="BN8" s="341">
        <v>3565.95</v>
      </c>
      <c r="BO8" s="339" t="s">
        <v>728</v>
      </c>
      <c r="BP8" s="339" t="s">
        <v>729</v>
      </c>
      <c r="BQ8" s="91"/>
      <c r="BR8" s="340">
        <v>43</v>
      </c>
      <c r="BS8" s="340">
        <v>1281323</v>
      </c>
      <c r="BT8" s="341">
        <v>3473.31</v>
      </c>
    </row>
    <row r="9" spans="1:72">
      <c r="A9" s="339" t="s">
        <v>730</v>
      </c>
      <c r="B9" s="339" t="s">
        <v>731</v>
      </c>
      <c r="C9" s="91"/>
      <c r="D9" s="340">
        <v>19</v>
      </c>
      <c r="E9" s="340">
        <v>1149136</v>
      </c>
      <c r="F9" s="341">
        <v>2803.47</v>
      </c>
      <c r="G9" s="339" t="s">
        <v>730</v>
      </c>
      <c r="H9" s="339" t="s">
        <v>731</v>
      </c>
      <c r="I9" s="91"/>
      <c r="J9" s="340">
        <v>19</v>
      </c>
      <c r="K9" s="340">
        <v>971472</v>
      </c>
      <c r="L9" s="341">
        <v>2979.28</v>
      </c>
      <c r="M9" s="349" t="s">
        <v>730</v>
      </c>
      <c r="N9" s="349" t="s">
        <v>731</v>
      </c>
      <c r="O9" s="347"/>
      <c r="P9" s="350">
        <v>19</v>
      </c>
      <c r="Q9" s="350">
        <v>1012424</v>
      </c>
      <c r="R9" s="351">
        <v>2987.26</v>
      </c>
      <c r="S9" s="339" t="s">
        <v>730</v>
      </c>
      <c r="T9" s="339" t="s">
        <v>731</v>
      </c>
      <c r="U9" s="91"/>
      <c r="V9" s="340">
        <v>19</v>
      </c>
      <c r="W9" s="340">
        <v>1011464</v>
      </c>
      <c r="X9" s="341">
        <v>4165.21</v>
      </c>
      <c r="Y9" s="339" t="s">
        <v>730</v>
      </c>
      <c r="Z9" s="339" t="s">
        <v>731</v>
      </c>
      <c r="AA9" s="91"/>
      <c r="AB9" s="340">
        <v>19</v>
      </c>
      <c r="AC9" s="340">
        <v>1102056</v>
      </c>
      <c r="AD9" s="341">
        <v>4235.7700000000004</v>
      </c>
      <c r="AE9" s="339" t="s">
        <v>730</v>
      </c>
      <c r="AF9" s="339" t="s">
        <v>731</v>
      </c>
      <c r="AG9" s="91"/>
      <c r="AH9" s="340">
        <v>19</v>
      </c>
      <c r="AI9" s="340">
        <v>1118832</v>
      </c>
      <c r="AJ9" s="341">
        <v>2901.74</v>
      </c>
      <c r="AK9" s="339" t="s">
        <v>730</v>
      </c>
      <c r="AL9" s="339" t="s">
        <v>731</v>
      </c>
      <c r="AM9" s="91"/>
      <c r="AN9" s="340">
        <v>19</v>
      </c>
      <c r="AO9" s="340">
        <v>1106504</v>
      </c>
      <c r="AP9" s="341">
        <v>3298.41</v>
      </c>
      <c r="AQ9" s="339" t="s">
        <v>730</v>
      </c>
      <c r="AR9" s="339" t="s">
        <v>731</v>
      </c>
      <c r="AS9" s="91"/>
      <c r="AT9" s="340">
        <v>19</v>
      </c>
      <c r="AU9" s="340">
        <v>1459800</v>
      </c>
      <c r="AV9" s="341">
        <v>3732.47</v>
      </c>
      <c r="AW9" s="339" t="s">
        <v>730</v>
      </c>
      <c r="AX9" s="339" t="s">
        <v>731</v>
      </c>
      <c r="AY9" s="91"/>
      <c r="AZ9" s="340">
        <v>19</v>
      </c>
      <c r="BA9" s="340">
        <v>1279224</v>
      </c>
      <c r="BB9" s="341">
        <v>5439.44</v>
      </c>
      <c r="BC9" s="339" t="s">
        <v>730</v>
      </c>
      <c r="BD9" s="339" t="s">
        <v>731</v>
      </c>
      <c r="BE9" s="91"/>
      <c r="BF9" s="340">
        <v>19</v>
      </c>
      <c r="BG9" s="340">
        <v>1096760</v>
      </c>
      <c r="BH9" s="341">
        <v>5276.44</v>
      </c>
      <c r="BI9" s="339" t="s">
        <v>730</v>
      </c>
      <c r="BJ9" s="339" t="s">
        <v>731</v>
      </c>
      <c r="BK9" s="91"/>
      <c r="BL9" s="340">
        <v>19</v>
      </c>
      <c r="BM9" s="340">
        <v>1127848</v>
      </c>
      <c r="BN9" s="341">
        <v>5125.8799999999992</v>
      </c>
      <c r="BO9" s="339" t="s">
        <v>730</v>
      </c>
      <c r="BP9" s="339" t="s">
        <v>731</v>
      </c>
      <c r="BQ9" s="91"/>
      <c r="BR9" s="340">
        <v>19</v>
      </c>
      <c r="BS9" s="340">
        <v>921880</v>
      </c>
      <c r="BT9" s="341">
        <v>3412.53</v>
      </c>
    </row>
    <row r="10" spans="1:72">
      <c r="A10" s="339" t="s">
        <v>732</v>
      </c>
      <c r="B10" s="339" t="s">
        <v>733</v>
      </c>
      <c r="C10" s="91"/>
      <c r="D10" s="340">
        <v>21</v>
      </c>
      <c r="E10" s="340">
        <v>935649</v>
      </c>
      <c r="F10" s="341">
        <v>2133.92</v>
      </c>
      <c r="G10" s="339" t="s">
        <v>732</v>
      </c>
      <c r="H10" s="339" t="s">
        <v>733</v>
      </c>
      <c r="I10" s="91"/>
      <c r="J10" s="340">
        <v>21</v>
      </c>
      <c r="K10" s="340">
        <v>976677</v>
      </c>
      <c r="L10" s="341">
        <v>2538.11</v>
      </c>
      <c r="M10" s="349" t="s">
        <v>732</v>
      </c>
      <c r="N10" s="349" t="s">
        <v>733</v>
      </c>
      <c r="O10" s="347"/>
      <c r="P10" s="350">
        <v>20</v>
      </c>
      <c r="Q10" s="350">
        <v>1034444</v>
      </c>
      <c r="R10" s="351">
        <v>2909.12</v>
      </c>
      <c r="S10" s="339" t="s">
        <v>732</v>
      </c>
      <c r="T10" s="339" t="s">
        <v>733</v>
      </c>
      <c r="U10" s="91"/>
      <c r="V10" s="340">
        <v>20</v>
      </c>
      <c r="W10" s="340">
        <v>1265636</v>
      </c>
      <c r="X10" s="341">
        <v>3264.3</v>
      </c>
      <c r="Y10" s="339" t="s">
        <v>732</v>
      </c>
      <c r="Z10" s="339" t="s">
        <v>733</v>
      </c>
      <c r="AA10" s="91"/>
      <c r="AB10" s="340">
        <v>20</v>
      </c>
      <c r="AC10" s="340">
        <v>1209288</v>
      </c>
      <c r="AD10" s="341">
        <v>3187.19</v>
      </c>
      <c r="AE10" s="339" t="s">
        <v>732</v>
      </c>
      <c r="AF10" s="339" t="s">
        <v>733</v>
      </c>
      <c r="AG10" s="91"/>
      <c r="AH10" s="340">
        <v>19</v>
      </c>
      <c r="AI10" s="340">
        <v>1275493</v>
      </c>
      <c r="AJ10" s="341">
        <v>2845.49</v>
      </c>
      <c r="AK10" s="339" t="s">
        <v>732</v>
      </c>
      <c r="AL10" s="339" t="s">
        <v>733</v>
      </c>
      <c r="AM10" s="91"/>
      <c r="AN10" s="340">
        <v>19</v>
      </c>
      <c r="AO10" s="340">
        <v>1105516</v>
      </c>
      <c r="AP10" s="341">
        <v>2829.12</v>
      </c>
      <c r="AQ10" s="339" t="s">
        <v>732</v>
      </c>
      <c r="AR10" s="339" t="s">
        <v>733</v>
      </c>
      <c r="AS10" s="91"/>
      <c r="AT10" s="340">
        <v>19</v>
      </c>
      <c r="AU10" s="340">
        <v>1422597</v>
      </c>
      <c r="AV10" s="341">
        <v>3382.64</v>
      </c>
      <c r="AW10" s="339" t="s">
        <v>732</v>
      </c>
      <c r="AX10" s="339" t="s">
        <v>733</v>
      </c>
      <c r="AY10" s="91"/>
      <c r="AZ10" s="340">
        <v>19</v>
      </c>
      <c r="BA10" s="340">
        <v>1275650</v>
      </c>
      <c r="BB10" s="341">
        <v>3451.85</v>
      </c>
      <c r="BC10" s="339" t="s">
        <v>732</v>
      </c>
      <c r="BD10" s="339" t="s">
        <v>733</v>
      </c>
      <c r="BE10" s="91"/>
      <c r="BF10" s="340">
        <v>19</v>
      </c>
      <c r="BG10" s="340">
        <v>1174008</v>
      </c>
      <c r="BH10" s="341">
        <v>3325.55</v>
      </c>
      <c r="BI10" s="339" t="s">
        <v>732</v>
      </c>
      <c r="BJ10" s="339" t="s">
        <v>733</v>
      </c>
      <c r="BK10" s="91"/>
      <c r="BL10" s="340">
        <v>19</v>
      </c>
      <c r="BM10" s="340">
        <v>1100966</v>
      </c>
      <c r="BN10" s="341">
        <v>3049.59</v>
      </c>
      <c r="BO10" s="339" t="s">
        <v>732</v>
      </c>
      <c r="BP10" s="339" t="s">
        <v>733</v>
      </c>
      <c r="BQ10" s="91"/>
      <c r="BR10" s="340">
        <v>19</v>
      </c>
      <c r="BS10" s="340">
        <v>979430</v>
      </c>
      <c r="BT10" s="341">
        <v>3383.13</v>
      </c>
    </row>
    <row r="11" spans="1:72">
      <c r="A11" s="342" t="s">
        <v>734</v>
      </c>
      <c r="B11" s="91"/>
      <c r="C11" s="91"/>
      <c r="D11" s="340">
        <v>112</v>
      </c>
      <c r="E11" s="340">
        <v>3896918</v>
      </c>
      <c r="F11" s="341">
        <v>10356.370000000001</v>
      </c>
      <c r="G11" s="342" t="s">
        <v>734</v>
      </c>
      <c r="H11" s="91"/>
      <c r="I11" s="91"/>
      <c r="J11" s="340">
        <v>111</v>
      </c>
      <c r="K11" s="340">
        <v>4381344</v>
      </c>
      <c r="L11" s="341">
        <v>11378.37</v>
      </c>
      <c r="M11" s="352" t="s">
        <v>734</v>
      </c>
      <c r="N11" s="347"/>
      <c r="O11" s="347"/>
      <c r="P11" s="350">
        <v>110</v>
      </c>
      <c r="Q11" s="350">
        <v>4451826</v>
      </c>
      <c r="R11" s="351">
        <v>11882.78</v>
      </c>
      <c r="S11" s="342" t="s">
        <v>734</v>
      </c>
      <c r="T11" s="91"/>
      <c r="U11" s="91"/>
      <c r="V11" s="340">
        <v>110</v>
      </c>
      <c r="W11" s="340">
        <v>5051513</v>
      </c>
      <c r="X11" s="341">
        <v>13837.11</v>
      </c>
      <c r="Y11" s="342" t="s">
        <v>734</v>
      </c>
      <c r="Z11" s="91"/>
      <c r="AA11" s="91"/>
      <c r="AB11" s="340">
        <v>109</v>
      </c>
      <c r="AC11" s="340">
        <v>4869813</v>
      </c>
      <c r="AD11" s="341">
        <v>13483.35</v>
      </c>
      <c r="AE11" s="342" t="s">
        <v>734</v>
      </c>
      <c r="AF11" s="91"/>
      <c r="AG11" s="91"/>
      <c r="AH11" s="340">
        <v>108</v>
      </c>
      <c r="AI11" s="340">
        <v>4521534</v>
      </c>
      <c r="AJ11" s="341">
        <v>9640.5</v>
      </c>
      <c r="AK11" s="342" t="s">
        <v>734</v>
      </c>
      <c r="AL11" s="91"/>
      <c r="AM11" s="91"/>
      <c r="AN11" s="340">
        <v>97</v>
      </c>
      <c r="AO11" s="340">
        <v>4177620</v>
      </c>
      <c r="AP11" s="341">
        <v>10454.85</v>
      </c>
      <c r="AQ11" s="342" t="s">
        <v>734</v>
      </c>
      <c r="AR11" s="91"/>
      <c r="AS11" s="91"/>
      <c r="AT11" s="340">
        <v>96</v>
      </c>
      <c r="AU11" s="340">
        <v>5559174</v>
      </c>
      <c r="AV11" s="341">
        <v>13219.18</v>
      </c>
      <c r="AW11" s="342" t="s">
        <v>734</v>
      </c>
      <c r="AX11" s="91"/>
      <c r="AY11" s="91"/>
      <c r="AZ11" s="340">
        <v>96</v>
      </c>
      <c r="BA11" s="340">
        <v>5595241</v>
      </c>
      <c r="BB11" s="341">
        <v>15406.91</v>
      </c>
      <c r="BC11" s="342" t="s">
        <v>734</v>
      </c>
      <c r="BD11" s="91"/>
      <c r="BE11" s="91"/>
      <c r="BF11" s="340">
        <v>95</v>
      </c>
      <c r="BG11" s="340">
        <v>4848971</v>
      </c>
      <c r="BH11" s="341">
        <v>14512.61</v>
      </c>
      <c r="BI11" s="342" t="s">
        <v>734</v>
      </c>
      <c r="BJ11" s="91"/>
      <c r="BK11" s="91"/>
      <c r="BL11" s="340">
        <v>95</v>
      </c>
      <c r="BM11" s="340">
        <v>4692750</v>
      </c>
      <c r="BN11" s="341">
        <v>14256.54</v>
      </c>
      <c r="BO11" s="342" t="s">
        <v>734</v>
      </c>
      <c r="BP11" s="91"/>
      <c r="BQ11" s="91"/>
      <c r="BR11" s="340">
        <v>95</v>
      </c>
      <c r="BS11" s="340">
        <v>3943995</v>
      </c>
      <c r="BT11" s="341">
        <v>12555.57</v>
      </c>
    </row>
    <row r="12" spans="1:72">
      <c r="A12" s="91"/>
      <c r="B12" s="91"/>
      <c r="C12" s="91"/>
      <c r="D12" s="91"/>
      <c r="E12" s="91"/>
      <c r="F12" s="91"/>
      <c r="G12" s="91"/>
      <c r="H12" s="91"/>
      <c r="I12" s="91"/>
      <c r="J12" s="91"/>
      <c r="K12" s="91"/>
      <c r="L12" s="91"/>
      <c r="M12" s="347"/>
      <c r="N12" s="347"/>
      <c r="O12" s="347"/>
      <c r="P12" s="347"/>
      <c r="Q12" s="347"/>
      <c r="R12" s="347"/>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row>
    <row r="13" spans="1:72">
      <c r="A13" s="339" t="s">
        <v>735</v>
      </c>
      <c r="B13" s="339" t="s">
        <v>736</v>
      </c>
      <c r="C13" s="91"/>
      <c r="D13" s="340">
        <v>219</v>
      </c>
      <c r="E13" s="340">
        <v>11711926</v>
      </c>
      <c r="F13" s="341">
        <v>23802.45</v>
      </c>
      <c r="G13" s="339" t="s">
        <v>735</v>
      </c>
      <c r="H13" s="339" t="s">
        <v>736</v>
      </c>
      <c r="I13" s="91"/>
      <c r="J13" s="340">
        <v>220</v>
      </c>
      <c r="K13" s="340">
        <v>10443247</v>
      </c>
      <c r="L13" s="341">
        <v>23287.360000000001</v>
      </c>
      <c r="M13" s="349" t="s">
        <v>735</v>
      </c>
      <c r="N13" s="349" t="s">
        <v>736</v>
      </c>
      <c r="O13" s="347"/>
      <c r="P13" s="350">
        <v>221</v>
      </c>
      <c r="Q13" s="350">
        <v>10334514</v>
      </c>
      <c r="R13" s="351">
        <v>25228.73</v>
      </c>
      <c r="S13" s="339" t="s">
        <v>735</v>
      </c>
      <c r="T13" s="339" t="s">
        <v>736</v>
      </c>
      <c r="U13" s="91"/>
      <c r="V13" s="340">
        <v>221</v>
      </c>
      <c r="W13" s="340">
        <v>11788390</v>
      </c>
      <c r="X13" s="341">
        <v>27738.360000000004</v>
      </c>
      <c r="Y13" s="339" t="s">
        <v>735</v>
      </c>
      <c r="Z13" s="339" t="s">
        <v>736</v>
      </c>
      <c r="AA13" s="91"/>
      <c r="AB13" s="340">
        <v>222</v>
      </c>
      <c r="AC13" s="340">
        <v>10995629</v>
      </c>
      <c r="AD13" s="341">
        <v>25797.71</v>
      </c>
      <c r="AE13" s="339" t="s">
        <v>735</v>
      </c>
      <c r="AF13" s="339" t="s">
        <v>736</v>
      </c>
      <c r="AG13" s="91"/>
      <c r="AH13" s="340">
        <v>222</v>
      </c>
      <c r="AI13" s="340">
        <v>13735457</v>
      </c>
      <c r="AJ13" s="341">
        <v>28100.62</v>
      </c>
      <c r="AK13" s="339" t="s">
        <v>735</v>
      </c>
      <c r="AL13" s="339" t="s">
        <v>736</v>
      </c>
      <c r="AM13" s="91"/>
      <c r="AN13" s="340">
        <v>236</v>
      </c>
      <c r="AO13" s="340">
        <v>12981211</v>
      </c>
      <c r="AP13" s="341">
        <v>29389.74</v>
      </c>
      <c r="AQ13" s="339" t="s">
        <v>735</v>
      </c>
      <c r="AR13" s="339" t="s">
        <v>736</v>
      </c>
      <c r="AS13" s="91"/>
      <c r="AT13" s="340">
        <v>236</v>
      </c>
      <c r="AU13" s="340">
        <v>14997651</v>
      </c>
      <c r="AV13" s="341">
        <v>30728.59</v>
      </c>
      <c r="AW13" s="339" t="s">
        <v>735</v>
      </c>
      <c r="AX13" s="339" t="s">
        <v>736</v>
      </c>
      <c r="AY13" s="91"/>
      <c r="AZ13" s="340">
        <v>236</v>
      </c>
      <c r="BA13" s="340">
        <v>12518146</v>
      </c>
      <c r="BB13" s="341">
        <v>29236.080000000002</v>
      </c>
      <c r="BC13" s="339" t="s">
        <v>735</v>
      </c>
      <c r="BD13" s="339" t="s">
        <v>736</v>
      </c>
      <c r="BE13" s="91"/>
      <c r="BF13" s="340">
        <v>238</v>
      </c>
      <c r="BG13" s="340">
        <v>11037353</v>
      </c>
      <c r="BH13" s="341">
        <v>27723.37</v>
      </c>
      <c r="BI13" s="339" t="s">
        <v>735</v>
      </c>
      <c r="BJ13" s="339" t="s">
        <v>736</v>
      </c>
      <c r="BK13" s="91"/>
      <c r="BL13" s="340">
        <v>239</v>
      </c>
      <c r="BM13" s="340">
        <v>10481030</v>
      </c>
      <c r="BN13" s="341">
        <v>27210.95</v>
      </c>
      <c r="BO13" s="339" t="s">
        <v>735</v>
      </c>
      <c r="BP13" s="339" t="s">
        <v>736</v>
      </c>
      <c r="BQ13" s="91"/>
      <c r="BR13" s="340">
        <v>239</v>
      </c>
      <c r="BS13" s="340">
        <v>10075321</v>
      </c>
      <c r="BT13" s="341">
        <v>26623.83</v>
      </c>
    </row>
    <row r="14" spans="1:72">
      <c r="A14" s="339" t="s">
        <v>737</v>
      </c>
      <c r="B14" s="339" t="s">
        <v>738</v>
      </c>
      <c r="C14" s="91"/>
      <c r="D14" s="340">
        <v>3</v>
      </c>
      <c r="E14" s="340">
        <v>1125744</v>
      </c>
      <c r="F14" s="341">
        <v>2155.46</v>
      </c>
      <c r="G14" s="339" t="s">
        <v>737</v>
      </c>
      <c r="H14" s="339" t="s">
        <v>738</v>
      </c>
      <c r="I14" s="91"/>
      <c r="J14" s="340">
        <v>3</v>
      </c>
      <c r="K14" s="340">
        <v>979680</v>
      </c>
      <c r="L14" s="341">
        <v>2003.98</v>
      </c>
      <c r="M14" s="349" t="s">
        <v>737</v>
      </c>
      <c r="N14" s="349" t="s">
        <v>738</v>
      </c>
      <c r="O14" s="347"/>
      <c r="P14" s="350">
        <v>3</v>
      </c>
      <c r="Q14" s="350">
        <v>961632</v>
      </c>
      <c r="R14" s="351">
        <v>2047.22</v>
      </c>
      <c r="S14" s="339" t="s">
        <v>737</v>
      </c>
      <c r="T14" s="339" t="s">
        <v>738</v>
      </c>
      <c r="U14" s="91"/>
      <c r="V14" s="340">
        <v>3</v>
      </c>
      <c r="W14" s="340">
        <v>1004352</v>
      </c>
      <c r="X14" s="341">
        <v>1869.67</v>
      </c>
      <c r="Y14" s="339" t="s">
        <v>737</v>
      </c>
      <c r="Z14" s="339" t="s">
        <v>738</v>
      </c>
      <c r="AA14" s="91"/>
      <c r="AB14" s="340">
        <v>3</v>
      </c>
      <c r="AC14" s="340">
        <v>730272</v>
      </c>
      <c r="AD14" s="341">
        <v>1748.02</v>
      </c>
      <c r="AE14" s="339" t="s">
        <v>737</v>
      </c>
      <c r="AF14" s="339" t="s">
        <v>738</v>
      </c>
      <c r="AG14" s="91"/>
      <c r="AH14" s="340">
        <v>3</v>
      </c>
      <c r="AI14" s="340">
        <v>642720</v>
      </c>
      <c r="AJ14" s="341">
        <v>1633.68</v>
      </c>
      <c r="AK14" s="339" t="s">
        <v>737</v>
      </c>
      <c r="AL14" s="339" t="s">
        <v>738</v>
      </c>
      <c r="AM14" s="91"/>
      <c r="AN14" s="340">
        <v>3</v>
      </c>
      <c r="AO14" s="340">
        <v>498960</v>
      </c>
      <c r="AP14" s="341">
        <v>1262.78</v>
      </c>
      <c r="AQ14" s="339" t="s">
        <v>737</v>
      </c>
      <c r="AR14" s="339" t="s">
        <v>738</v>
      </c>
      <c r="AS14" s="91"/>
      <c r="AT14" s="340">
        <v>3</v>
      </c>
      <c r="AU14" s="340">
        <v>611040</v>
      </c>
      <c r="AV14" s="341">
        <v>1312.54</v>
      </c>
      <c r="AW14" s="339" t="s">
        <v>737</v>
      </c>
      <c r="AX14" s="339" t="s">
        <v>738</v>
      </c>
      <c r="AY14" s="91"/>
      <c r="AZ14" s="340">
        <v>3</v>
      </c>
      <c r="BA14" s="340">
        <v>581280</v>
      </c>
      <c r="BB14" s="341">
        <v>1641.41</v>
      </c>
      <c r="BC14" s="339" t="s">
        <v>737</v>
      </c>
      <c r="BD14" s="339" t="s">
        <v>738</v>
      </c>
      <c r="BE14" s="91"/>
      <c r="BF14" s="340">
        <v>3</v>
      </c>
      <c r="BG14" s="340">
        <v>672576</v>
      </c>
      <c r="BH14" s="341">
        <v>1665.79</v>
      </c>
      <c r="BI14" s="339" t="s">
        <v>737</v>
      </c>
      <c r="BJ14" s="339" t="s">
        <v>738</v>
      </c>
      <c r="BK14" s="91"/>
      <c r="BL14" s="340">
        <v>3</v>
      </c>
      <c r="BM14" s="340">
        <v>749040</v>
      </c>
      <c r="BN14" s="341">
        <v>1911.53</v>
      </c>
      <c r="BO14" s="339" t="s">
        <v>737</v>
      </c>
      <c r="BP14" s="339" t="s">
        <v>738</v>
      </c>
      <c r="BQ14" s="91"/>
      <c r="BR14" s="340">
        <v>3</v>
      </c>
      <c r="BS14" s="340">
        <v>875952</v>
      </c>
      <c r="BT14" s="341">
        <v>1790.4</v>
      </c>
    </row>
    <row r="15" spans="1:72">
      <c r="A15" s="342" t="s">
        <v>739</v>
      </c>
      <c r="B15" s="91"/>
      <c r="C15" s="91"/>
      <c r="D15" s="340">
        <v>222</v>
      </c>
      <c r="E15" s="340">
        <v>12837670</v>
      </c>
      <c r="F15" s="341">
        <v>25957.91</v>
      </c>
      <c r="G15" s="342" t="s">
        <v>739</v>
      </c>
      <c r="H15" s="91"/>
      <c r="I15" s="91"/>
      <c r="J15" s="340">
        <v>223</v>
      </c>
      <c r="K15" s="340">
        <v>11422927</v>
      </c>
      <c r="L15" s="341">
        <v>25291.34</v>
      </c>
      <c r="M15" s="352" t="s">
        <v>739</v>
      </c>
      <c r="N15" s="347"/>
      <c r="O15" s="347"/>
      <c r="P15" s="350">
        <v>224</v>
      </c>
      <c r="Q15" s="350">
        <v>11296146</v>
      </c>
      <c r="R15" s="351">
        <v>27275.95</v>
      </c>
      <c r="S15" s="342" t="s">
        <v>739</v>
      </c>
      <c r="T15" s="91"/>
      <c r="U15" s="91"/>
      <c r="V15" s="340">
        <v>224</v>
      </c>
      <c r="W15" s="340">
        <v>12792742</v>
      </c>
      <c r="X15" s="341">
        <v>29608.030000000006</v>
      </c>
      <c r="Y15" s="342" t="s">
        <v>739</v>
      </c>
      <c r="Z15" s="91"/>
      <c r="AA15" s="91"/>
      <c r="AB15" s="340">
        <v>225</v>
      </c>
      <c r="AC15" s="340">
        <v>11725901</v>
      </c>
      <c r="AD15" s="341">
        <v>27545.73</v>
      </c>
      <c r="AE15" s="342" t="s">
        <v>739</v>
      </c>
      <c r="AF15" s="91"/>
      <c r="AG15" s="91"/>
      <c r="AH15" s="340">
        <v>225</v>
      </c>
      <c r="AI15" s="340">
        <v>14378177</v>
      </c>
      <c r="AJ15" s="341">
        <v>29734.3</v>
      </c>
      <c r="AK15" s="342" t="s">
        <v>739</v>
      </c>
      <c r="AL15" s="91"/>
      <c r="AM15" s="91"/>
      <c r="AN15" s="340">
        <v>239</v>
      </c>
      <c r="AO15" s="340">
        <v>13480171</v>
      </c>
      <c r="AP15" s="341">
        <v>30652.52</v>
      </c>
      <c r="AQ15" s="342" t="s">
        <v>739</v>
      </c>
      <c r="AR15" s="91"/>
      <c r="AS15" s="91"/>
      <c r="AT15" s="340">
        <v>239</v>
      </c>
      <c r="AU15" s="340">
        <v>15608691</v>
      </c>
      <c r="AV15" s="341">
        <v>32041.13</v>
      </c>
      <c r="AW15" s="342" t="s">
        <v>739</v>
      </c>
      <c r="AX15" s="91"/>
      <c r="AY15" s="91"/>
      <c r="AZ15" s="340">
        <v>239</v>
      </c>
      <c r="BA15" s="340">
        <v>13099426</v>
      </c>
      <c r="BB15" s="341">
        <v>30877.49</v>
      </c>
      <c r="BC15" s="342" t="s">
        <v>739</v>
      </c>
      <c r="BD15" s="91"/>
      <c r="BE15" s="91"/>
      <c r="BF15" s="340">
        <v>241</v>
      </c>
      <c r="BG15" s="340">
        <v>11709929</v>
      </c>
      <c r="BH15" s="341">
        <v>29389.16</v>
      </c>
      <c r="BI15" s="342" t="s">
        <v>739</v>
      </c>
      <c r="BJ15" s="91"/>
      <c r="BK15" s="91"/>
      <c r="BL15" s="340">
        <v>242</v>
      </c>
      <c r="BM15" s="340">
        <v>11230070</v>
      </c>
      <c r="BN15" s="341">
        <v>29122.48</v>
      </c>
      <c r="BO15" s="342" t="s">
        <v>739</v>
      </c>
      <c r="BP15" s="91"/>
      <c r="BQ15" s="91"/>
      <c r="BR15" s="340">
        <v>242</v>
      </c>
      <c r="BS15" s="340">
        <v>10951273</v>
      </c>
      <c r="BT15" s="341">
        <v>28414.23</v>
      </c>
    </row>
    <row r="16" spans="1:72">
      <c r="A16" s="91"/>
      <c r="B16" s="91"/>
      <c r="C16" s="91"/>
      <c r="D16" s="91"/>
      <c r="E16" s="92">
        <f>E11+E15</f>
        <v>16734588</v>
      </c>
      <c r="F16" s="91"/>
      <c r="G16" s="91"/>
      <c r="H16" s="91"/>
      <c r="I16" s="91"/>
      <c r="J16" s="91"/>
      <c r="K16" s="92">
        <f>K11+K15</f>
        <v>15804271</v>
      </c>
      <c r="L16" s="91"/>
      <c r="M16" s="347"/>
      <c r="N16" s="347"/>
      <c r="O16" s="347"/>
      <c r="P16" s="347"/>
      <c r="Q16" s="92">
        <f>Q11+Q15</f>
        <v>15747972</v>
      </c>
      <c r="R16" s="347"/>
      <c r="S16" s="91"/>
      <c r="T16" s="91"/>
      <c r="U16" s="91"/>
      <c r="V16" s="91"/>
      <c r="W16" s="92">
        <f>W11+W15</f>
        <v>17844255</v>
      </c>
      <c r="X16" s="91"/>
      <c r="Y16" s="91"/>
      <c r="Z16" s="91"/>
      <c r="AA16" s="91"/>
      <c r="AB16" s="91"/>
      <c r="AC16" s="92">
        <f>AC11+AC15</f>
        <v>16595714</v>
      </c>
      <c r="AD16" s="91"/>
      <c r="AE16" s="91"/>
      <c r="AF16" s="91"/>
      <c r="AG16" s="91"/>
      <c r="AH16" s="91"/>
      <c r="AI16" s="92">
        <f>AI11+AI15</f>
        <v>18899711</v>
      </c>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row>
    <row r="17" spans="1:72">
      <c r="A17" s="339" t="s">
        <v>740</v>
      </c>
      <c r="B17" s="339" t="s">
        <v>741</v>
      </c>
      <c r="C17" s="91"/>
      <c r="D17" s="340">
        <v>4</v>
      </c>
      <c r="E17" s="340">
        <v>113800</v>
      </c>
      <c r="F17" s="341">
        <v>251.28</v>
      </c>
      <c r="G17" s="339" t="s">
        <v>740</v>
      </c>
      <c r="H17" s="339" t="s">
        <v>741</v>
      </c>
      <c r="I17" s="91"/>
      <c r="J17" s="340">
        <v>4</v>
      </c>
      <c r="K17" s="340">
        <v>109112</v>
      </c>
      <c r="L17" s="341">
        <v>289.68</v>
      </c>
      <c r="M17" s="349" t="s">
        <v>740</v>
      </c>
      <c r="N17" s="349" t="s">
        <v>741</v>
      </c>
      <c r="O17" s="347"/>
      <c r="P17" s="350">
        <v>4</v>
      </c>
      <c r="Q17" s="350">
        <v>108400</v>
      </c>
      <c r="R17" s="351">
        <v>288.08</v>
      </c>
      <c r="S17" s="339" t="s">
        <v>740</v>
      </c>
      <c r="T17" s="339" t="s">
        <v>741</v>
      </c>
      <c r="U17" s="91"/>
      <c r="V17" s="340">
        <v>4</v>
      </c>
      <c r="W17" s="340">
        <v>116080</v>
      </c>
      <c r="X17" s="341">
        <v>294.08</v>
      </c>
      <c r="Y17" s="339" t="s">
        <v>740</v>
      </c>
      <c r="Z17" s="339" t="s">
        <v>741</v>
      </c>
      <c r="AA17" s="91"/>
      <c r="AB17" s="340">
        <v>4</v>
      </c>
      <c r="AC17" s="340">
        <v>106312</v>
      </c>
      <c r="AD17" s="341">
        <v>272.32</v>
      </c>
      <c r="AE17" s="339" t="s">
        <v>740</v>
      </c>
      <c r="AF17" s="339" t="s">
        <v>741</v>
      </c>
      <c r="AG17" s="91"/>
      <c r="AH17" s="340">
        <v>4</v>
      </c>
      <c r="AI17" s="340">
        <v>109256</v>
      </c>
      <c r="AJ17" s="341">
        <v>233.6</v>
      </c>
      <c r="AK17" s="339" t="s">
        <v>740</v>
      </c>
      <c r="AL17" s="339" t="s">
        <v>741</v>
      </c>
      <c r="AM17" s="91"/>
      <c r="AN17" s="340">
        <v>4</v>
      </c>
      <c r="AO17" s="340">
        <v>101352</v>
      </c>
      <c r="AP17" s="341">
        <v>222.4</v>
      </c>
      <c r="AQ17" s="339" t="s">
        <v>740</v>
      </c>
      <c r="AR17" s="339" t="s">
        <v>741</v>
      </c>
      <c r="AS17" s="91"/>
      <c r="AT17" s="340">
        <v>4</v>
      </c>
      <c r="AU17" s="340">
        <v>116496</v>
      </c>
      <c r="AV17" s="341">
        <v>248.88</v>
      </c>
      <c r="AW17" s="339" t="s">
        <v>740</v>
      </c>
      <c r="AX17" s="339" t="s">
        <v>741</v>
      </c>
      <c r="AY17" s="91"/>
      <c r="AZ17" s="340">
        <v>4</v>
      </c>
      <c r="BA17" s="340">
        <v>107320</v>
      </c>
      <c r="BB17" s="341">
        <v>289.92</v>
      </c>
      <c r="BC17" s="339" t="s">
        <v>740</v>
      </c>
      <c r="BD17" s="339" t="s">
        <v>741</v>
      </c>
      <c r="BE17" s="91"/>
      <c r="BF17" s="340">
        <v>4</v>
      </c>
      <c r="BG17" s="340">
        <v>94024</v>
      </c>
      <c r="BH17" s="341">
        <v>282.95999999999998</v>
      </c>
      <c r="BI17" s="339" t="s">
        <v>740</v>
      </c>
      <c r="BJ17" s="339" t="s">
        <v>741</v>
      </c>
      <c r="BK17" s="91"/>
      <c r="BL17" s="340">
        <v>4</v>
      </c>
      <c r="BM17" s="340">
        <v>98528</v>
      </c>
      <c r="BN17" s="341">
        <v>264.08</v>
      </c>
      <c r="BO17" s="339" t="s">
        <v>740</v>
      </c>
      <c r="BP17" s="339" t="s">
        <v>741</v>
      </c>
      <c r="BQ17" s="91"/>
      <c r="BR17" s="340">
        <v>4</v>
      </c>
      <c r="BS17" s="340">
        <v>85536</v>
      </c>
      <c r="BT17" s="341">
        <v>262.48</v>
      </c>
    </row>
    <row r="18" spans="1:72">
      <c r="A18" s="339" t="s">
        <v>742</v>
      </c>
      <c r="B18" s="339" t="s">
        <v>743</v>
      </c>
      <c r="C18" s="91"/>
      <c r="D18" s="340">
        <v>2</v>
      </c>
      <c r="E18" s="340">
        <v>445536</v>
      </c>
      <c r="F18" s="341">
        <v>804.48</v>
      </c>
      <c r="G18" s="339" t="s">
        <v>742</v>
      </c>
      <c r="H18" s="339" t="s">
        <v>743</v>
      </c>
      <c r="I18" s="91"/>
      <c r="J18" s="340">
        <v>2</v>
      </c>
      <c r="K18" s="340">
        <v>495360</v>
      </c>
      <c r="L18" s="341">
        <v>825.6</v>
      </c>
      <c r="M18" s="349" t="s">
        <v>742</v>
      </c>
      <c r="N18" s="349" t="s">
        <v>743</v>
      </c>
      <c r="O18" s="347"/>
      <c r="P18" s="350">
        <v>2</v>
      </c>
      <c r="Q18" s="350">
        <v>446304</v>
      </c>
      <c r="R18" s="351">
        <v>847.68</v>
      </c>
      <c r="S18" s="339" t="s">
        <v>742</v>
      </c>
      <c r="T18" s="339" t="s">
        <v>743</v>
      </c>
      <c r="U18" s="91"/>
      <c r="V18" s="340">
        <v>2</v>
      </c>
      <c r="W18" s="340">
        <v>466560</v>
      </c>
      <c r="X18" s="341">
        <v>884.16</v>
      </c>
      <c r="Y18" s="339" t="s">
        <v>742</v>
      </c>
      <c r="Z18" s="339" t="s">
        <v>743</v>
      </c>
      <c r="AA18" s="91"/>
      <c r="AB18" s="340">
        <v>2</v>
      </c>
      <c r="AC18" s="340">
        <v>492192</v>
      </c>
      <c r="AD18" s="341">
        <v>1018.56</v>
      </c>
      <c r="AE18" s="339" t="s">
        <v>742</v>
      </c>
      <c r="AF18" s="339" t="s">
        <v>743</v>
      </c>
      <c r="AG18" s="91"/>
      <c r="AH18" s="340">
        <v>2</v>
      </c>
      <c r="AI18" s="340">
        <v>456288</v>
      </c>
      <c r="AJ18" s="341">
        <v>1056.96</v>
      </c>
      <c r="AK18" s="339" t="s">
        <v>742</v>
      </c>
      <c r="AL18" s="339" t="s">
        <v>743</v>
      </c>
      <c r="AM18" s="91"/>
      <c r="AN18" s="340">
        <v>2</v>
      </c>
      <c r="AO18" s="340">
        <v>539232</v>
      </c>
      <c r="AP18" s="341">
        <v>1158.24</v>
      </c>
      <c r="AQ18" s="339" t="s">
        <v>742</v>
      </c>
      <c r="AR18" s="339" t="s">
        <v>743</v>
      </c>
      <c r="AS18" s="91"/>
      <c r="AT18" s="340">
        <v>2</v>
      </c>
      <c r="AU18" s="340">
        <v>619488</v>
      </c>
      <c r="AV18" s="341">
        <v>1110.72</v>
      </c>
      <c r="AW18" s="339" t="s">
        <v>742</v>
      </c>
      <c r="AX18" s="339" t="s">
        <v>743</v>
      </c>
      <c r="AY18" s="91"/>
      <c r="AZ18" s="340">
        <v>2</v>
      </c>
      <c r="BA18" s="340">
        <v>428832</v>
      </c>
      <c r="BB18" s="341">
        <v>1028.1600000000001</v>
      </c>
      <c r="BC18" s="339" t="s">
        <v>742</v>
      </c>
      <c r="BD18" s="339" t="s">
        <v>743</v>
      </c>
      <c r="BE18" s="91"/>
      <c r="BF18" s="340">
        <v>3</v>
      </c>
      <c r="BG18" s="340">
        <v>505632</v>
      </c>
      <c r="BH18" s="341">
        <v>1373.28</v>
      </c>
      <c r="BI18" s="339" t="s">
        <v>742</v>
      </c>
      <c r="BJ18" s="339" t="s">
        <v>743</v>
      </c>
      <c r="BK18" s="91"/>
      <c r="BL18" s="340">
        <v>2</v>
      </c>
      <c r="BM18" s="340">
        <v>363168</v>
      </c>
      <c r="BN18" s="341">
        <v>873.12</v>
      </c>
      <c r="BO18" s="339" t="s">
        <v>742</v>
      </c>
      <c r="BP18" s="339" t="s">
        <v>743</v>
      </c>
      <c r="BQ18" s="91"/>
      <c r="BR18" s="340">
        <v>2</v>
      </c>
      <c r="BS18" s="340">
        <v>421344</v>
      </c>
      <c r="BT18" s="341">
        <v>853.44</v>
      </c>
    </row>
    <row r="19" spans="1:72">
      <c r="A19" s="339" t="s">
        <v>744</v>
      </c>
      <c r="B19" s="339" t="s">
        <v>745</v>
      </c>
      <c r="C19" s="91"/>
      <c r="D19" s="340">
        <v>108</v>
      </c>
      <c r="E19" s="340">
        <v>1577968</v>
      </c>
      <c r="F19" s="341">
        <v>4757.68</v>
      </c>
      <c r="G19" s="339" t="s">
        <v>744</v>
      </c>
      <c r="H19" s="339" t="s">
        <v>745</v>
      </c>
      <c r="I19" s="91"/>
      <c r="J19" s="340">
        <v>106</v>
      </c>
      <c r="K19" s="340">
        <v>1624063</v>
      </c>
      <c r="L19" s="341">
        <v>4594.29</v>
      </c>
      <c r="M19" s="349" t="s">
        <v>744</v>
      </c>
      <c r="N19" s="349" t="s">
        <v>745</v>
      </c>
      <c r="O19" s="347"/>
      <c r="P19" s="350">
        <v>104</v>
      </c>
      <c r="Q19" s="350">
        <v>1350453</v>
      </c>
      <c r="R19" s="351">
        <v>4285.24</v>
      </c>
      <c r="S19" s="339" t="s">
        <v>744</v>
      </c>
      <c r="T19" s="339" t="s">
        <v>745</v>
      </c>
      <c r="U19" s="91"/>
      <c r="V19" s="340">
        <v>105</v>
      </c>
      <c r="W19" s="340">
        <v>1312784</v>
      </c>
      <c r="X19" s="341">
        <v>4352.58</v>
      </c>
      <c r="Y19" s="339" t="s">
        <v>744</v>
      </c>
      <c r="Z19" s="339" t="s">
        <v>745</v>
      </c>
      <c r="AA19" s="91"/>
      <c r="AB19" s="340">
        <v>107</v>
      </c>
      <c r="AC19" s="340">
        <v>1484896</v>
      </c>
      <c r="AD19" s="341">
        <v>4313.13</v>
      </c>
      <c r="AE19" s="339" t="s">
        <v>744</v>
      </c>
      <c r="AF19" s="339" t="s">
        <v>745</v>
      </c>
      <c r="AG19" s="91"/>
      <c r="AH19" s="340">
        <v>106</v>
      </c>
      <c r="AI19" s="340">
        <v>1442347</v>
      </c>
      <c r="AJ19" s="341">
        <v>4612.6099999999997</v>
      </c>
      <c r="AK19" s="339" t="s">
        <v>744</v>
      </c>
      <c r="AL19" s="339" t="s">
        <v>745</v>
      </c>
      <c r="AM19" s="91"/>
      <c r="AN19" s="340">
        <v>109</v>
      </c>
      <c r="AO19" s="340">
        <v>1752509</v>
      </c>
      <c r="AP19" s="341">
        <v>4650.92</v>
      </c>
      <c r="AQ19" s="339" t="s">
        <v>744</v>
      </c>
      <c r="AR19" s="339" t="s">
        <v>745</v>
      </c>
      <c r="AS19" s="91"/>
      <c r="AT19" s="340">
        <v>106</v>
      </c>
      <c r="AU19" s="340">
        <v>1852342</v>
      </c>
      <c r="AV19" s="341">
        <v>4813.28</v>
      </c>
      <c r="AW19" s="339" t="s">
        <v>744</v>
      </c>
      <c r="AX19" s="339" t="s">
        <v>745</v>
      </c>
      <c r="AY19" s="91"/>
      <c r="AZ19" s="340">
        <v>108</v>
      </c>
      <c r="BA19" s="340">
        <v>1482861</v>
      </c>
      <c r="BB19" s="341">
        <v>4770.47</v>
      </c>
      <c r="BC19" s="339" t="s">
        <v>744</v>
      </c>
      <c r="BD19" s="339" t="s">
        <v>745</v>
      </c>
      <c r="BE19" s="91"/>
      <c r="BF19" s="340">
        <v>97</v>
      </c>
      <c r="BG19" s="340">
        <v>1367033</v>
      </c>
      <c r="BH19" s="341">
        <v>4240.16</v>
      </c>
      <c r="BI19" s="339" t="s">
        <v>744</v>
      </c>
      <c r="BJ19" s="339" t="s">
        <v>745</v>
      </c>
      <c r="BK19" s="91"/>
      <c r="BL19" s="340">
        <v>96</v>
      </c>
      <c r="BM19" s="340">
        <v>1331145</v>
      </c>
      <c r="BN19" s="341">
        <v>4087.17</v>
      </c>
      <c r="BO19" s="339" t="s">
        <v>744</v>
      </c>
      <c r="BP19" s="339" t="s">
        <v>745</v>
      </c>
      <c r="BQ19" s="91"/>
      <c r="BR19" s="340">
        <v>96</v>
      </c>
      <c r="BS19" s="340">
        <v>1305870</v>
      </c>
      <c r="BT19" s="341">
        <v>4212.3500000000004</v>
      </c>
    </row>
    <row r="20" spans="1:72">
      <c r="A20" s="339" t="s">
        <v>746</v>
      </c>
      <c r="B20" s="339" t="s">
        <v>747</v>
      </c>
      <c r="C20" s="91"/>
      <c r="D20" s="340">
        <v>26</v>
      </c>
      <c r="E20" s="340">
        <v>2496303</v>
      </c>
      <c r="F20" s="341">
        <v>4621.04</v>
      </c>
      <c r="G20" s="339" t="s">
        <v>746</v>
      </c>
      <c r="H20" s="339" t="s">
        <v>747</v>
      </c>
      <c r="I20" s="91"/>
      <c r="J20" s="340">
        <v>26</v>
      </c>
      <c r="K20" s="340">
        <v>1969345</v>
      </c>
      <c r="L20" s="341">
        <v>4462.76</v>
      </c>
      <c r="M20" s="349" t="s">
        <v>746</v>
      </c>
      <c r="N20" s="349" t="s">
        <v>747</v>
      </c>
      <c r="O20" s="347"/>
      <c r="P20" s="350">
        <v>26</v>
      </c>
      <c r="Q20" s="350">
        <v>1600979</v>
      </c>
      <c r="R20" s="351">
        <v>4164.2</v>
      </c>
      <c r="S20" s="339" t="s">
        <v>746</v>
      </c>
      <c r="T20" s="339" t="s">
        <v>747</v>
      </c>
      <c r="U20" s="91"/>
      <c r="V20" s="340">
        <v>26</v>
      </c>
      <c r="W20" s="340">
        <v>1863907</v>
      </c>
      <c r="X20" s="341">
        <v>4067.72</v>
      </c>
      <c r="Y20" s="339" t="s">
        <v>746</v>
      </c>
      <c r="Z20" s="339" t="s">
        <v>747</v>
      </c>
      <c r="AA20" s="91"/>
      <c r="AB20" s="340">
        <v>26</v>
      </c>
      <c r="AC20" s="340">
        <v>1676923</v>
      </c>
      <c r="AD20" s="341">
        <v>3888.97</v>
      </c>
      <c r="AE20" s="339" t="s">
        <v>746</v>
      </c>
      <c r="AF20" s="339" t="s">
        <v>747</v>
      </c>
      <c r="AG20" s="91"/>
      <c r="AH20" s="340">
        <v>26</v>
      </c>
      <c r="AI20" s="340">
        <v>2090461</v>
      </c>
      <c r="AJ20" s="341">
        <v>4470.04</v>
      </c>
      <c r="AK20" s="339" t="s">
        <v>746</v>
      </c>
      <c r="AL20" s="339" t="s">
        <v>747</v>
      </c>
      <c r="AM20" s="91"/>
      <c r="AN20" s="340">
        <v>26</v>
      </c>
      <c r="AO20" s="340">
        <v>1876732</v>
      </c>
      <c r="AP20" s="341">
        <v>4353.3100000000004</v>
      </c>
      <c r="AQ20" s="339" t="s">
        <v>746</v>
      </c>
      <c r="AR20" s="339" t="s">
        <v>747</v>
      </c>
      <c r="AS20" s="91"/>
      <c r="AT20" s="340">
        <v>26</v>
      </c>
      <c r="AU20" s="340">
        <v>2436778</v>
      </c>
      <c r="AV20" s="341">
        <v>4767.26</v>
      </c>
      <c r="AW20" s="339" t="s">
        <v>746</v>
      </c>
      <c r="AX20" s="339" t="s">
        <v>747</v>
      </c>
      <c r="AY20" s="91"/>
      <c r="AZ20" s="340">
        <v>26</v>
      </c>
      <c r="BA20" s="340">
        <v>1776489</v>
      </c>
      <c r="BB20" s="341">
        <v>4432.03</v>
      </c>
      <c r="BC20" s="339" t="s">
        <v>746</v>
      </c>
      <c r="BD20" s="339" t="s">
        <v>747</v>
      </c>
      <c r="BE20" s="91"/>
      <c r="BF20" s="340">
        <v>26</v>
      </c>
      <c r="BG20" s="340">
        <v>1726742</v>
      </c>
      <c r="BH20" s="341">
        <v>4074.93</v>
      </c>
      <c r="BI20" s="339" t="s">
        <v>746</v>
      </c>
      <c r="BJ20" s="339" t="s">
        <v>747</v>
      </c>
      <c r="BK20" s="91"/>
      <c r="BL20" s="340">
        <v>26</v>
      </c>
      <c r="BM20" s="340">
        <v>1736079</v>
      </c>
      <c r="BN20" s="341">
        <v>4160.75</v>
      </c>
      <c r="BO20" s="339" t="s">
        <v>746</v>
      </c>
      <c r="BP20" s="339" t="s">
        <v>747</v>
      </c>
      <c r="BQ20" s="91"/>
      <c r="BR20" s="340">
        <v>26</v>
      </c>
      <c r="BS20" s="340">
        <v>1901851</v>
      </c>
      <c r="BT20" s="341">
        <v>4463.51</v>
      </c>
    </row>
    <row r="21" spans="1:72">
      <c r="A21" s="339" t="s">
        <v>748</v>
      </c>
      <c r="B21" s="339" t="s">
        <v>749</v>
      </c>
      <c r="C21" s="91"/>
      <c r="D21" s="340">
        <v>548</v>
      </c>
      <c r="E21" s="340">
        <v>1113213</v>
      </c>
      <c r="F21" s="341">
        <v>2731.02</v>
      </c>
      <c r="G21" s="339" t="s">
        <v>748</v>
      </c>
      <c r="H21" s="339" t="s">
        <v>749</v>
      </c>
      <c r="I21" s="91"/>
      <c r="J21" s="340">
        <v>548</v>
      </c>
      <c r="K21" s="340">
        <v>1105652</v>
      </c>
      <c r="L21" s="341">
        <v>2585.3200000000002</v>
      </c>
      <c r="M21" s="349" t="s">
        <v>748</v>
      </c>
      <c r="N21" s="349" t="s">
        <v>749</v>
      </c>
      <c r="O21" s="347"/>
      <c r="P21" s="350">
        <v>550</v>
      </c>
      <c r="Q21" s="350">
        <v>885380</v>
      </c>
      <c r="R21" s="351">
        <v>2481.83</v>
      </c>
      <c r="S21" s="339" t="s">
        <v>748</v>
      </c>
      <c r="T21" s="339" t="s">
        <v>749</v>
      </c>
      <c r="U21" s="91"/>
      <c r="V21" s="340">
        <v>545</v>
      </c>
      <c r="W21" s="340">
        <v>857441</v>
      </c>
      <c r="X21" s="341">
        <v>2474.8000000000002</v>
      </c>
      <c r="Y21" s="339" t="s">
        <v>748</v>
      </c>
      <c r="Z21" s="339" t="s">
        <v>749</v>
      </c>
      <c r="AA21" s="91"/>
      <c r="AB21" s="340">
        <v>544</v>
      </c>
      <c r="AC21" s="340">
        <v>872914</v>
      </c>
      <c r="AD21" s="341">
        <v>2356.64</v>
      </c>
      <c r="AE21" s="339" t="s">
        <v>748</v>
      </c>
      <c r="AF21" s="339" t="s">
        <v>749</v>
      </c>
      <c r="AG21" s="91"/>
      <c r="AH21" s="340">
        <v>549</v>
      </c>
      <c r="AI21" s="340">
        <v>898675</v>
      </c>
      <c r="AJ21" s="341">
        <v>2506.0700000000002</v>
      </c>
      <c r="AK21" s="339" t="s">
        <v>748</v>
      </c>
      <c r="AL21" s="339" t="s">
        <v>749</v>
      </c>
      <c r="AM21" s="91"/>
      <c r="AN21" s="340">
        <v>545</v>
      </c>
      <c r="AO21" s="340">
        <v>954827</v>
      </c>
      <c r="AP21" s="341">
        <v>2230.42</v>
      </c>
      <c r="AQ21" s="339" t="s">
        <v>748</v>
      </c>
      <c r="AR21" s="339" t="s">
        <v>749</v>
      </c>
      <c r="AS21" s="91"/>
      <c r="AT21" s="340">
        <v>548</v>
      </c>
      <c r="AU21" s="340">
        <v>1113466</v>
      </c>
      <c r="AV21" s="341">
        <v>2430.09</v>
      </c>
      <c r="AW21" s="339" t="s">
        <v>748</v>
      </c>
      <c r="AX21" s="339" t="s">
        <v>749</v>
      </c>
      <c r="AY21" s="91"/>
      <c r="AZ21" s="340">
        <v>549</v>
      </c>
      <c r="BA21" s="340">
        <v>900194</v>
      </c>
      <c r="BB21" s="341">
        <v>2362.7600000000002</v>
      </c>
      <c r="BC21" s="339" t="s">
        <v>748</v>
      </c>
      <c r="BD21" s="339" t="s">
        <v>749</v>
      </c>
      <c r="BE21" s="91"/>
      <c r="BF21" s="340">
        <v>558</v>
      </c>
      <c r="BG21" s="340">
        <v>813201</v>
      </c>
      <c r="BH21" s="341">
        <v>2412.31</v>
      </c>
      <c r="BI21" s="339" t="s">
        <v>748</v>
      </c>
      <c r="BJ21" s="339" t="s">
        <v>749</v>
      </c>
      <c r="BK21" s="91"/>
      <c r="BL21" s="340">
        <v>558</v>
      </c>
      <c r="BM21" s="340">
        <v>838651</v>
      </c>
      <c r="BN21" s="341">
        <v>2483.88</v>
      </c>
      <c r="BO21" s="339" t="s">
        <v>748</v>
      </c>
      <c r="BP21" s="339" t="s">
        <v>749</v>
      </c>
      <c r="BQ21" s="91"/>
      <c r="BR21" s="340">
        <v>563</v>
      </c>
      <c r="BS21" s="340">
        <v>847831</v>
      </c>
      <c r="BT21" s="341">
        <v>2541.02</v>
      </c>
    </row>
    <row r="22" spans="1:72">
      <c r="A22" s="339" t="s">
        <v>750</v>
      </c>
      <c r="B22" s="339" t="s">
        <v>751</v>
      </c>
      <c r="C22" s="91"/>
      <c r="D22" s="340">
        <v>52</v>
      </c>
      <c r="E22" s="340">
        <v>10459</v>
      </c>
      <c r="F22" s="341">
        <v>0</v>
      </c>
      <c r="G22" s="339" t="s">
        <v>750</v>
      </c>
      <c r="H22" s="339" t="s">
        <v>751</v>
      </c>
      <c r="I22" s="91"/>
      <c r="J22" s="340">
        <v>52</v>
      </c>
      <c r="K22" s="340">
        <v>10364</v>
      </c>
      <c r="L22" s="341">
        <v>0</v>
      </c>
      <c r="M22" s="349" t="s">
        <v>750</v>
      </c>
      <c r="N22" s="349" t="s">
        <v>751</v>
      </c>
      <c r="O22" s="347"/>
      <c r="P22" s="350">
        <v>52</v>
      </c>
      <c r="Q22" s="350">
        <v>10337</v>
      </c>
      <c r="R22" s="351">
        <v>0</v>
      </c>
      <c r="S22" s="339" t="s">
        <v>750</v>
      </c>
      <c r="T22" s="339" t="s">
        <v>751</v>
      </c>
      <c r="U22" s="91"/>
      <c r="V22" s="340">
        <v>52</v>
      </c>
      <c r="W22" s="340">
        <v>10365</v>
      </c>
      <c r="X22" s="341">
        <v>0</v>
      </c>
      <c r="Y22" s="339" t="s">
        <v>750</v>
      </c>
      <c r="Z22" s="339" t="s">
        <v>751</v>
      </c>
      <c r="AA22" s="91"/>
      <c r="AB22" s="340">
        <v>52</v>
      </c>
      <c r="AC22" s="340">
        <v>10315</v>
      </c>
      <c r="AD22" s="341">
        <v>0</v>
      </c>
      <c r="AE22" s="339" t="s">
        <v>750</v>
      </c>
      <c r="AF22" s="339" t="s">
        <v>751</v>
      </c>
      <c r="AG22" s="91"/>
      <c r="AH22" s="340">
        <v>54</v>
      </c>
      <c r="AI22" s="340">
        <v>10346</v>
      </c>
      <c r="AJ22" s="341">
        <v>0</v>
      </c>
      <c r="AK22" s="339" t="s">
        <v>750</v>
      </c>
      <c r="AL22" s="339" t="s">
        <v>751</v>
      </c>
      <c r="AM22" s="91"/>
      <c r="AN22" s="340">
        <v>52</v>
      </c>
      <c r="AO22" s="340">
        <v>10294</v>
      </c>
      <c r="AP22" s="341">
        <v>0</v>
      </c>
      <c r="AQ22" s="339" t="s">
        <v>750</v>
      </c>
      <c r="AR22" s="339" t="s">
        <v>751</v>
      </c>
      <c r="AS22" s="91"/>
      <c r="AT22" s="340">
        <v>52</v>
      </c>
      <c r="AU22" s="340">
        <v>10387</v>
      </c>
      <c r="AV22" s="341">
        <v>0</v>
      </c>
      <c r="AW22" s="339" t="s">
        <v>750</v>
      </c>
      <c r="AX22" s="339" t="s">
        <v>751</v>
      </c>
      <c r="AY22" s="91"/>
      <c r="AZ22" s="340">
        <v>52</v>
      </c>
      <c r="BA22" s="340">
        <v>10344</v>
      </c>
      <c r="BB22" s="341">
        <v>0</v>
      </c>
      <c r="BC22" s="339" t="s">
        <v>750</v>
      </c>
      <c r="BD22" s="339" t="s">
        <v>751</v>
      </c>
      <c r="BE22" s="91"/>
      <c r="BF22" s="340">
        <v>53</v>
      </c>
      <c r="BG22" s="340">
        <v>10375</v>
      </c>
      <c r="BH22" s="341">
        <v>0</v>
      </c>
      <c r="BI22" s="339" t="s">
        <v>750</v>
      </c>
      <c r="BJ22" s="339" t="s">
        <v>751</v>
      </c>
      <c r="BK22" s="91"/>
      <c r="BL22" s="340">
        <v>52</v>
      </c>
      <c r="BM22" s="340">
        <v>10373</v>
      </c>
      <c r="BN22" s="341">
        <v>0</v>
      </c>
      <c r="BO22" s="339" t="s">
        <v>750</v>
      </c>
      <c r="BP22" s="339" t="s">
        <v>751</v>
      </c>
      <c r="BQ22" s="91"/>
      <c r="BR22" s="340">
        <v>52</v>
      </c>
      <c r="BS22" s="340">
        <v>10386</v>
      </c>
      <c r="BT22" s="341">
        <v>0</v>
      </c>
    </row>
    <row r="23" spans="1:72">
      <c r="A23" s="339" t="s">
        <v>752</v>
      </c>
      <c r="B23" s="339" t="s">
        <v>753</v>
      </c>
      <c r="C23" s="91"/>
      <c r="D23" s="340">
        <v>5</v>
      </c>
      <c r="E23" s="340">
        <v>1102860</v>
      </c>
      <c r="F23" s="341">
        <v>2146.42</v>
      </c>
      <c r="G23" s="339" t="s">
        <v>752</v>
      </c>
      <c r="H23" s="339" t="s">
        <v>753</v>
      </c>
      <c r="I23" s="91"/>
      <c r="J23" s="340">
        <v>5</v>
      </c>
      <c r="K23" s="340">
        <v>1122060</v>
      </c>
      <c r="L23" s="341">
        <v>2212</v>
      </c>
      <c r="M23" s="349" t="s">
        <v>752</v>
      </c>
      <c r="N23" s="349" t="s">
        <v>753</v>
      </c>
      <c r="O23" s="347"/>
      <c r="P23" s="350">
        <v>5</v>
      </c>
      <c r="Q23" s="350">
        <v>1157820</v>
      </c>
      <c r="R23" s="351">
        <v>2249.5</v>
      </c>
      <c r="S23" s="339" t="s">
        <v>752</v>
      </c>
      <c r="T23" s="339" t="s">
        <v>753</v>
      </c>
      <c r="U23" s="91"/>
      <c r="V23" s="340">
        <v>5</v>
      </c>
      <c r="W23" s="340">
        <v>1081760</v>
      </c>
      <c r="X23" s="341">
        <v>2330.2199999999998</v>
      </c>
      <c r="Y23" s="339" t="s">
        <v>752</v>
      </c>
      <c r="Z23" s="339" t="s">
        <v>753</v>
      </c>
      <c r="AA23" s="91"/>
      <c r="AB23" s="340">
        <v>5</v>
      </c>
      <c r="AC23" s="340">
        <v>1144740</v>
      </c>
      <c r="AD23" s="341">
        <v>2304.96</v>
      </c>
      <c r="AE23" s="339" t="s">
        <v>752</v>
      </c>
      <c r="AF23" s="339" t="s">
        <v>753</v>
      </c>
      <c r="AG23" s="91"/>
      <c r="AH23" s="340">
        <v>5</v>
      </c>
      <c r="AI23" s="340">
        <v>1199300</v>
      </c>
      <c r="AJ23" s="341">
        <v>2442.4599999999996</v>
      </c>
      <c r="AK23" s="339" t="s">
        <v>752</v>
      </c>
      <c r="AL23" s="339" t="s">
        <v>753</v>
      </c>
      <c r="AM23" s="91"/>
      <c r="AN23" s="340">
        <v>5</v>
      </c>
      <c r="AO23" s="340">
        <v>1440760</v>
      </c>
      <c r="AP23" s="341">
        <v>2519.7399999999998</v>
      </c>
      <c r="AQ23" s="339" t="s">
        <v>752</v>
      </c>
      <c r="AR23" s="339" t="s">
        <v>753</v>
      </c>
      <c r="AS23" s="91"/>
      <c r="AT23" s="340">
        <v>5</v>
      </c>
      <c r="AU23" s="340">
        <v>1255140</v>
      </c>
      <c r="AV23" s="341">
        <v>2570.04</v>
      </c>
      <c r="AW23" s="339" t="s">
        <v>752</v>
      </c>
      <c r="AX23" s="339" t="s">
        <v>753</v>
      </c>
      <c r="AY23" s="91"/>
      <c r="AZ23" s="340">
        <v>5</v>
      </c>
      <c r="BA23" s="340">
        <v>1226340</v>
      </c>
      <c r="BB23" s="341">
        <v>2461.44</v>
      </c>
      <c r="BC23" s="339" t="s">
        <v>752</v>
      </c>
      <c r="BD23" s="339" t="s">
        <v>753</v>
      </c>
      <c r="BE23" s="91"/>
      <c r="BF23" s="340">
        <v>5</v>
      </c>
      <c r="BG23" s="340">
        <v>1136480</v>
      </c>
      <c r="BH23" s="341">
        <v>2363.64</v>
      </c>
      <c r="BI23" s="339" t="s">
        <v>752</v>
      </c>
      <c r="BJ23" s="339" t="s">
        <v>753</v>
      </c>
      <c r="BK23" s="91"/>
      <c r="BL23" s="340">
        <v>5</v>
      </c>
      <c r="BM23" s="340">
        <v>1168600</v>
      </c>
      <c r="BN23" s="341">
        <v>2340.4599999999996</v>
      </c>
      <c r="BO23" s="339" t="s">
        <v>752</v>
      </c>
      <c r="BP23" s="339" t="s">
        <v>753</v>
      </c>
      <c r="BQ23" s="91"/>
      <c r="BR23" s="340">
        <v>5</v>
      </c>
      <c r="BS23" s="340">
        <v>1095920</v>
      </c>
      <c r="BT23" s="341">
        <v>2310.16</v>
      </c>
    </row>
    <row r="24" spans="1:72">
      <c r="A24" s="339" t="s">
        <v>754</v>
      </c>
      <c r="B24" s="339" t="s">
        <v>755</v>
      </c>
      <c r="C24" s="91"/>
      <c r="D24" s="340">
        <v>53</v>
      </c>
      <c r="E24" s="340">
        <v>267313</v>
      </c>
      <c r="F24" s="341">
        <v>535.11</v>
      </c>
      <c r="G24" s="339" t="s">
        <v>754</v>
      </c>
      <c r="H24" s="339" t="s">
        <v>755</v>
      </c>
      <c r="I24" s="91"/>
      <c r="J24" s="340">
        <v>54</v>
      </c>
      <c r="K24" s="340">
        <v>268179</v>
      </c>
      <c r="L24" s="341">
        <v>529.67999999999995</v>
      </c>
      <c r="M24" s="349" t="s">
        <v>754</v>
      </c>
      <c r="N24" s="349" t="s">
        <v>755</v>
      </c>
      <c r="O24" s="347"/>
      <c r="P24" s="350">
        <v>55</v>
      </c>
      <c r="Q24" s="350">
        <v>227952</v>
      </c>
      <c r="R24" s="351">
        <v>468.01</v>
      </c>
      <c r="S24" s="339" t="s">
        <v>754</v>
      </c>
      <c r="T24" s="339" t="s">
        <v>755</v>
      </c>
      <c r="U24" s="91"/>
      <c r="V24" s="340">
        <v>54</v>
      </c>
      <c r="W24" s="340">
        <v>221436</v>
      </c>
      <c r="X24" s="341">
        <v>602.84</v>
      </c>
      <c r="Y24" s="339" t="s">
        <v>754</v>
      </c>
      <c r="Z24" s="339" t="s">
        <v>755</v>
      </c>
      <c r="AA24" s="91"/>
      <c r="AB24" s="340">
        <v>55</v>
      </c>
      <c r="AC24" s="340">
        <v>221154</v>
      </c>
      <c r="AD24" s="341">
        <v>654.91999999999996</v>
      </c>
      <c r="AE24" s="339" t="s">
        <v>754</v>
      </c>
      <c r="AF24" s="339" t="s">
        <v>755</v>
      </c>
      <c r="AG24" s="91"/>
      <c r="AH24" s="340">
        <v>50</v>
      </c>
      <c r="AI24" s="340">
        <v>228623</v>
      </c>
      <c r="AJ24" s="341">
        <v>545.46</v>
      </c>
      <c r="AK24" s="339" t="s">
        <v>754</v>
      </c>
      <c r="AL24" s="339" t="s">
        <v>755</v>
      </c>
      <c r="AM24" s="91"/>
      <c r="AN24" s="340">
        <v>50</v>
      </c>
      <c r="AO24" s="340">
        <v>267119</v>
      </c>
      <c r="AP24" s="341">
        <v>577.17999999999995</v>
      </c>
      <c r="AQ24" s="339" t="s">
        <v>754</v>
      </c>
      <c r="AR24" s="339" t="s">
        <v>755</v>
      </c>
      <c r="AS24" s="91"/>
      <c r="AT24" s="340">
        <v>52</v>
      </c>
      <c r="AU24" s="340">
        <v>312068</v>
      </c>
      <c r="AV24" s="341">
        <v>604.6</v>
      </c>
      <c r="AW24" s="339" t="s">
        <v>754</v>
      </c>
      <c r="AX24" s="339" t="s">
        <v>755</v>
      </c>
      <c r="AY24" s="91"/>
      <c r="AZ24" s="340">
        <v>54</v>
      </c>
      <c r="BA24" s="340">
        <v>200606</v>
      </c>
      <c r="BB24" s="341">
        <v>696.36</v>
      </c>
      <c r="BC24" s="339" t="s">
        <v>754</v>
      </c>
      <c r="BD24" s="339" t="s">
        <v>755</v>
      </c>
      <c r="BE24" s="91"/>
      <c r="BF24" s="340">
        <v>53</v>
      </c>
      <c r="BG24" s="340">
        <v>220043</v>
      </c>
      <c r="BH24" s="341">
        <v>503.13</v>
      </c>
      <c r="BI24" s="339" t="s">
        <v>754</v>
      </c>
      <c r="BJ24" s="339" t="s">
        <v>755</v>
      </c>
      <c r="BK24" s="91"/>
      <c r="BL24" s="340">
        <v>56</v>
      </c>
      <c r="BM24" s="340">
        <v>223994</v>
      </c>
      <c r="BN24" s="341">
        <v>510.64</v>
      </c>
      <c r="BO24" s="339" t="s">
        <v>754</v>
      </c>
      <c r="BP24" s="339" t="s">
        <v>755</v>
      </c>
      <c r="BQ24" s="91"/>
      <c r="BR24" s="340">
        <v>57</v>
      </c>
      <c r="BS24" s="340">
        <v>228254</v>
      </c>
      <c r="BT24" s="341">
        <v>516.25</v>
      </c>
    </row>
    <row r="25" spans="1:72">
      <c r="A25" s="339" t="s">
        <v>756</v>
      </c>
      <c r="B25" s="339" t="s">
        <v>757</v>
      </c>
      <c r="C25" s="91"/>
      <c r="D25" s="340">
        <v>9</v>
      </c>
      <c r="E25" s="340">
        <v>30670</v>
      </c>
      <c r="F25" s="341">
        <v>164.72</v>
      </c>
      <c r="G25" s="339" t="s">
        <v>756</v>
      </c>
      <c r="H25" s="339" t="s">
        <v>757</v>
      </c>
      <c r="I25" s="91"/>
      <c r="J25" s="340">
        <v>9</v>
      </c>
      <c r="K25" s="340">
        <v>31741</v>
      </c>
      <c r="L25" s="341">
        <v>117.15</v>
      </c>
      <c r="M25" s="349" t="s">
        <v>756</v>
      </c>
      <c r="N25" s="349" t="s">
        <v>757</v>
      </c>
      <c r="O25" s="347"/>
      <c r="P25" s="350">
        <v>9</v>
      </c>
      <c r="Q25" s="350">
        <v>25132</v>
      </c>
      <c r="R25" s="351">
        <v>113.6</v>
      </c>
      <c r="S25" s="339" t="s">
        <v>756</v>
      </c>
      <c r="T25" s="339" t="s">
        <v>757</v>
      </c>
      <c r="U25" s="91"/>
      <c r="V25" s="340">
        <v>9</v>
      </c>
      <c r="W25" s="340">
        <v>24856</v>
      </c>
      <c r="X25" s="341">
        <v>124.08</v>
      </c>
      <c r="Y25" s="339" t="s">
        <v>756</v>
      </c>
      <c r="Z25" s="339" t="s">
        <v>757</v>
      </c>
      <c r="AA25" s="91"/>
      <c r="AB25" s="340">
        <v>9</v>
      </c>
      <c r="AC25" s="340">
        <v>20766</v>
      </c>
      <c r="AD25" s="341">
        <v>104.39</v>
      </c>
      <c r="AE25" s="339" t="s">
        <v>756</v>
      </c>
      <c r="AF25" s="339" t="s">
        <v>757</v>
      </c>
      <c r="AG25" s="91"/>
      <c r="AH25" s="340">
        <v>9</v>
      </c>
      <c r="AI25" s="340">
        <v>20045</v>
      </c>
      <c r="AJ25" s="341">
        <v>121.82</v>
      </c>
      <c r="AK25" s="339" t="s">
        <v>756</v>
      </c>
      <c r="AL25" s="339" t="s">
        <v>757</v>
      </c>
      <c r="AM25" s="91"/>
      <c r="AN25" s="340">
        <v>9</v>
      </c>
      <c r="AO25" s="340">
        <v>19910</v>
      </c>
      <c r="AP25" s="341">
        <v>112.94</v>
      </c>
      <c r="AQ25" s="339" t="s">
        <v>756</v>
      </c>
      <c r="AR25" s="339" t="s">
        <v>757</v>
      </c>
      <c r="AS25" s="91"/>
      <c r="AT25" s="340">
        <v>9</v>
      </c>
      <c r="AU25" s="340">
        <v>26151</v>
      </c>
      <c r="AV25" s="341">
        <v>162.58000000000001</v>
      </c>
      <c r="AW25" s="339" t="s">
        <v>756</v>
      </c>
      <c r="AX25" s="339" t="s">
        <v>757</v>
      </c>
      <c r="AY25" s="91"/>
      <c r="AZ25" s="340">
        <v>9</v>
      </c>
      <c r="BA25" s="340">
        <v>23227</v>
      </c>
      <c r="BB25" s="341">
        <v>117.14</v>
      </c>
      <c r="BC25" s="339" t="s">
        <v>756</v>
      </c>
      <c r="BD25" s="339" t="s">
        <v>757</v>
      </c>
      <c r="BE25" s="91"/>
      <c r="BF25" s="340">
        <v>9</v>
      </c>
      <c r="BG25" s="340">
        <v>20810</v>
      </c>
      <c r="BH25" s="341">
        <v>117.52</v>
      </c>
      <c r="BI25" s="339" t="s">
        <v>756</v>
      </c>
      <c r="BJ25" s="339" t="s">
        <v>757</v>
      </c>
      <c r="BK25" s="91"/>
      <c r="BL25" s="340">
        <v>10</v>
      </c>
      <c r="BM25" s="340">
        <v>21319</v>
      </c>
      <c r="BN25" s="341">
        <v>138.32</v>
      </c>
      <c r="BO25" s="339" t="s">
        <v>756</v>
      </c>
      <c r="BP25" s="339" t="s">
        <v>757</v>
      </c>
      <c r="BQ25" s="91"/>
      <c r="BR25" s="340">
        <v>10</v>
      </c>
      <c r="BS25" s="340">
        <v>22845</v>
      </c>
      <c r="BT25" s="341">
        <v>114.31</v>
      </c>
    </row>
    <row r="26" spans="1:72">
      <c r="A26" s="339" t="s">
        <v>758</v>
      </c>
      <c r="B26" s="339" t="s">
        <v>759</v>
      </c>
      <c r="C26" s="91"/>
      <c r="D26" s="340">
        <v>10</v>
      </c>
      <c r="E26" s="340">
        <v>149106</v>
      </c>
      <c r="F26" s="341">
        <v>515.75999999999988</v>
      </c>
      <c r="G26" s="339" t="s">
        <v>758</v>
      </c>
      <c r="H26" s="339" t="s">
        <v>759</v>
      </c>
      <c r="I26" s="91"/>
      <c r="J26" s="340">
        <v>10</v>
      </c>
      <c r="K26" s="340">
        <v>147753</v>
      </c>
      <c r="L26" s="341">
        <v>673.04</v>
      </c>
      <c r="M26" s="349" t="s">
        <v>758</v>
      </c>
      <c r="N26" s="349" t="s">
        <v>759</v>
      </c>
      <c r="O26" s="347"/>
      <c r="P26" s="350">
        <v>10</v>
      </c>
      <c r="Q26" s="350">
        <v>139893</v>
      </c>
      <c r="R26" s="351">
        <v>558.64</v>
      </c>
      <c r="S26" s="339" t="s">
        <v>758</v>
      </c>
      <c r="T26" s="339" t="s">
        <v>759</v>
      </c>
      <c r="U26" s="91"/>
      <c r="V26" s="340">
        <v>10</v>
      </c>
      <c r="W26" s="340">
        <v>138915</v>
      </c>
      <c r="X26" s="341">
        <v>634.64</v>
      </c>
      <c r="Y26" s="339" t="s">
        <v>758</v>
      </c>
      <c r="Z26" s="339" t="s">
        <v>759</v>
      </c>
      <c r="AA26" s="91"/>
      <c r="AB26" s="340">
        <v>10</v>
      </c>
      <c r="AC26" s="340">
        <v>136269</v>
      </c>
      <c r="AD26" s="341">
        <v>599.76</v>
      </c>
      <c r="AE26" s="339" t="s">
        <v>758</v>
      </c>
      <c r="AF26" s="339" t="s">
        <v>759</v>
      </c>
      <c r="AG26" s="91"/>
      <c r="AH26" s="340">
        <v>10</v>
      </c>
      <c r="AI26" s="340">
        <v>139247</v>
      </c>
      <c r="AJ26" s="341">
        <v>697.36</v>
      </c>
      <c r="AK26" s="339" t="s">
        <v>758</v>
      </c>
      <c r="AL26" s="339" t="s">
        <v>759</v>
      </c>
      <c r="AM26" s="91"/>
      <c r="AN26" s="340">
        <v>10</v>
      </c>
      <c r="AO26" s="340">
        <v>136695</v>
      </c>
      <c r="AP26" s="341">
        <v>963.12</v>
      </c>
      <c r="AQ26" s="339" t="s">
        <v>758</v>
      </c>
      <c r="AR26" s="339" t="s">
        <v>759</v>
      </c>
      <c r="AS26" s="91"/>
      <c r="AT26" s="340">
        <v>10</v>
      </c>
      <c r="AU26" s="340">
        <v>127759</v>
      </c>
      <c r="AV26" s="341">
        <v>819.52</v>
      </c>
      <c r="AW26" s="339" t="s">
        <v>758</v>
      </c>
      <c r="AX26" s="339" t="s">
        <v>759</v>
      </c>
      <c r="AY26" s="91"/>
      <c r="AZ26" s="340">
        <v>10</v>
      </c>
      <c r="BA26" s="340">
        <v>161952</v>
      </c>
      <c r="BB26" s="341">
        <v>885.44</v>
      </c>
      <c r="BC26" s="339" t="s">
        <v>758</v>
      </c>
      <c r="BD26" s="339" t="s">
        <v>759</v>
      </c>
      <c r="BE26" s="91"/>
      <c r="BF26" s="340">
        <v>10</v>
      </c>
      <c r="BG26" s="340">
        <v>138808</v>
      </c>
      <c r="BH26" s="341">
        <v>816.48</v>
      </c>
      <c r="BI26" s="339" t="s">
        <v>758</v>
      </c>
      <c r="BJ26" s="339" t="s">
        <v>759</v>
      </c>
      <c r="BK26" s="91"/>
      <c r="BL26" s="340">
        <v>10</v>
      </c>
      <c r="BM26" s="340">
        <v>139200</v>
      </c>
      <c r="BN26" s="341">
        <v>743.84</v>
      </c>
      <c r="BO26" s="339" t="s">
        <v>758</v>
      </c>
      <c r="BP26" s="339" t="s">
        <v>759</v>
      </c>
      <c r="BQ26" s="91"/>
      <c r="BR26" s="340">
        <v>9</v>
      </c>
      <c r="BS26" s="340">
        <v>137497</v>
      </c>
      <c r="BT26" s="341">
        <v>570.79999999999995</v>
      </c>
    </row>
    <row r="27" spans="1:72">
      <c r="A27" s="339" t="s">
        <v>760</v>
      </c>
      <c r="B27" s="339" t="s">
        <v>761</v>
      </c>
      <c r="C27" s="91"/>
      <c r="D27" s="340">
        <v>8</v>
      </c>
      <c r="E27" s="340">
        <v>14118</v>
      </c>
      <c r="F27" s="341">
        <v>28</v>
      </c>
      <c r="G27" s="339" t="s">
        <v>760</v>
      </c>
      <c r="H27" s="339" t="s">
        <v>761</v>
      </c>
      <c r="I27" s="91"/>
      <c r="J27" s="340">
        <v>8</v>
      </c>
      <c r="K27" s="340">
        <v>11774</v>
      </c>
      <c r="L27" s="341">
        <v>23.2</v>
      </c>
      <c r="M27" s="349" t="s">
        <v>760</v>
      </c>
      <c r="N27" s="349" t="s">
        <v>761</v>
      </c>
      <c r="O27" s="347"/>
      <c r="P27" s="350">
        <v>8</v>
      </c>
      <c r="Q27" s="350">
        <v>7767</v>
      </c>
      <c r="R27" s="351">
        <v>16.8</v>
      </c>
      <c r="S27" s="339" t="s">
        <v>760</v>
      </c>
      <c r="T27" s="339" t="s">
        <v>761</v>
      </c>
      <c r="U27" s="91"/>
      <c r="V27" s="340">
        <v>8</v>
      </c>
      <c r="W27" s="340">
        <v>7637</v>
      </c>
      <c r="X27" s="341">
        <v>21.6</v>
      </c>
      <c r="Y27" s="339" t="s">
        <v>760</v>
      </c>
      <c r="Z27" s="339" t="s">
        <v>761</v>
      </c>
      <c r="AA27" s="91"/>
      <c r="AB27" s="340">
        <v>8</v>
      </c>
      <c r="AC27" s="340">
        <v>4092</v>
      </c>
      <c r="AD27" s="341">
        <v>13.6</v>
      </c>
      <c r="AE27" s="339" t="s">
        <v>760</v>
      </c>
      <c r="AF27" s="339" t="s">
        <v>761</v>
      </c>
      <c r="AG27" s="91"/>
      <c r="AH27" s="340">
        <v>8</v>
      </c>
      <c r="AI27" s="340">
        <v>5598</v>
      </c>
      <c r="AJ27" s="341">
        <v>15.2</v>
      </c>
      <c r="AK27" s="339" t="s">
        <v>760</v>
      </c>
      <c r="AL27" s="339" t="s">
        <v>761</v>
      </c>
      <c r="AM27" s="91"/>
      <c r="AN27" s="340">
        <v>8</v>
      </c>
      <c r="AO27" s="340">
        <v>4985</v>
      </c>
      <c r="AP27" s="341">
        <v>15.2</v>
      </c>
      <c r="AQ27" s="339" t="s">
        <v>760</v>
      </c>
      <c r="AR27" s="339" t="s">
        <v>761</v>
      </c>
      <c r="AS27" s="91"/>
      <c r="AT27" s="340">
        <v>9</v>
      </c>
      <c r="AU27" s="340">
        <v>6449</v>
      </c>
      <c r="AV27" s="341">
        <v>16</v>
      </c>
      <c r="AW27" s="339" t="s">
        <v>760</v>
      </c>
      <c r="AX27" s="339" t="s">
        <v>761</v>
      </c>
      <c r="AY27" s="91"/>
      <c r="AZ27" s="340">
        <v>7</v>
      </c>
      <c r="BA27" s="340">
        <v>4199</v>
      </c>
      <c r="BB27" s="341">
        <v>14.4</v>
      </c>
      <c r="BC27" s="339" t="s">
        <v>760</v>
      </c>
      <c r="BD27" s="339" t="s">
        <v>761</v>
      </c>
      <c r="BE27" s="91"/>
      <c r="BF27" s="340">
        <v>7</v>
      </c>
      <c r="BG27" s="340">
        <v>3612</v>
      </c>
      <c r="BH27" s="341">
        <v>42.4</v>
      </c>
      <c r="BI27" s="339" t="s">
        <v>760</v>
      </c>
      <c r="BJ27" s="339" t="s">
        <v>761</v>
      </c>
      <c r="BK27" s="91"/>
      <c r="BL27" s="340">
        <v>7</v>
      </c>
      <c r="BM27" s="340">
        <v>4478</v>
      </c>
      <c r="BN27" s="341">
        <v>28</v>
      </c>
      <c r="BO27" s="339" t="s">
        <v>760</v>
      </c>
      <c r="BP27" s="339" t="s">
        <v>761</v>
      </c>
      <c r="BQ27" s="91"/>
      <c r="BR27" s="340">
        <v>7</v>
      </c>
      <c r="BS27" s="340">
        <v>5044</v>
      </c>
      <c r="BT27" s="341">
        <v>20.8</v>
      </c>
    </row>
    <row r="28" spans="1:72">
      <c r="A28" s="342" t="s">
        <v>56</v>
      </c>
      <c r="B28" s="91"/>
      <c r="C28" s="91"/>
      <c r="D28" s="340">
        <v>825</v>
      </c>
      <c r="E28" s="340">
        <v>7321346</v>
      </c>
      <c r="F28" s="341">
        <v>16555.509999999998</v>
      </c>
      <c r="G28" s="342" t="s">
        <v>56</v>
      </c>
      <c r="H28" s="91"/>
      <c r="I28" s="91"/>
      <c r="J28" s="340">
        <v>824</v>
      </c>
      <c r="K28" s="340">
        <v>6895403</v>
      </c>
      <c r="L28" s="341">
        <v>16312.72</v>
      </c>
      <c r="M28" s="352" t="s">
        <v>56</v>
      </c>
      <c r="N28" s="347"/>
      <c r="O28" s="347"/>
      <c r="P28" s="350">
        <v>825</v>
      </c>
      <c r="Q28" s="350">
        <v>5960417</v>
      </c>
      <c r="R28" s="351">
        <v>15473.58</v>
      </c>
      <c r="S28" s="342" t="s">
        <v>56</v>
      </c>
      <c r="T28" s="91"/>
      <c r="U28" s="91"/>
      <c r="V28" s="340">
        <v>820</v>
      </c>
      <c r="W28" s="340">
        <v>6101741</v>
      </c>
      <c r="X28" s="341">
        <v>15786.72</v>
      </c>
      <c r="Y28" s="342" t="s">
        <v>56</v>
      </c>
      <c r="Z28" s="91"/>
      <c r="AA28" s="91"/>
      <c r="AB28" s="340">
        <v>822</v>
      </c>
      <c r="AC28" s="340">
        <v>6170573</v>
      </c>
      <c r="AD28" s="341">
        <v>15527.25</v>
      </c>
      <c r="AE28" s="342" t="s">
        <v>56</v>
      </c>
      <c r="AF28" s="91"/>
      <c r="AG28" s="91"/>
      <c r="AH28" s="340">
        <v>823</v>
      </c>
      <c r="AI28" s="340">
        <v>6600186</v>
      </c>
      <c r="AJ28" s="341">
        <v>16701.580000000002</v>
      </c>
      <c r="AK28" s="342" t="s">
        <v>56</v>
      </c>
      <c r="AL28" s="91"/>
      <c r="AM28" s="91"/>
      <c r="AN28" s="340">
        <v>820</v>
      </c>
      <c r="AO28" s="340">
        <v>7104415</v>
      </c>
      <c r="AP28" s="341">
        <v>16803.47</v>
      </c>
      <c r="AQ28" s="342" t="s">
        <v>56</v>
      </c>
      <c r="AR28" s="91"/>
      <c r="AS28" s="91"/>
      <c r="AT28" s="340">
        <v>823</v>
      </c>
      <c r="AU28" s="340">
        <v>7876524</v>
      </c>
      <c r="AV28" s="341">
        <v>17542.97</v>
      </c>
      <c r="AW28" s="342" t="s">
        <v>56</v>
      </c>
      <c r="AX28" s="91"/>
      <c r="AY28" s="91"/>
      <c r="AZ28" s="340">
        <v>826</v>
      </c>
      <c r="BA28" s="340">
        <v>6322364</v>
      </c>
      <c r="BB28" s="341">
        <v>17058.12</v>
      </c>
      <c r="BC28" s="342" t="s">
        <v>56</v>
      </c>
      <c r="BD28" s="91"/>
      <c r="BE28" s="91"/>
      <c r="BF28" s="340">
        <v>825</v>
      </c>
      <c r="BG28" s="340">
        <v>6036760</v>
      </c>
      <c r="BH28" s="341">
        <v>16226.81</v>
      </c>
      <c r="BI28" s="342" t="s">
        <v>56</v>
      </c>
      <c r="BJ28" s="91"/>
      <c r="BK28" s="91"/>
      <c r="BL28" s="340">
        <v>826</v>
      </c>
      <c r="BM28" s="340">
        <v>5935535</v>
      </c>
      <c r="BN28" s="341">
        <v>15630.26</v>
      </c>
      <c r="BO28" s="342" t="s">
        <v>56</v>
      </c>
      <c r="BP28" s="91"/>
      <c r="BQ28" s="91"/>
      <c r="BR28" s="340">
        <v>831</v>
      </c>
      <c r="BS28" s="340">
        <v>6062378</v>
      </c>
      <c r="BT28" s="341">
        <v>15865.12</v>
      </c>
    </row>
    <row r="29" spans="1:72">
      <c r="A29" s="91"/>
      <c r="B29" s="91"/>
      <c r="C29" s="91"/>
      <c r="D29" s="91"/>
      <c r="E29" s="343">
        <f>E28-E23</f>
        <v>6218486</v>
      </c>
      <c r="F29" s="91"/>
      <c r="G29" s="91"/>
      <c r="H29" s="91"/>
      <c r="I29" s="91"/>
      <c r="J29" s="91"/>
      <c r="K29" s="343">
        <f>K28-K23</f>
        <v>5773343</v>
      </c>
      <c r="L29" s="91"/>
      <c r="M29" s="347"/>
      <c r="N29" s="347"/>
      <c r="O29" s="347"/>
      <c r="P29" s="347"/>
      <c r="Q29" s="343">
        <f>Q28-Q23</f>
        <v>4802597</v>
      </c>
      <c r="R29" s="347"/>
      <c r="S29" s="91"/>
      <c r="T29" s="91"/>
      <c r="U29" s="91"/>
      <c r="V29" s="91"/>
      <c r="W29" s="343">
        <f>W28-W23</f>
        <v>5019981</v>
      </c>
      <c r="X29" s="91"/>
      <c r="Y29" s="91"/>
      <c r="Z29" s="91"/>
      <c r="AA29" s="91"/>
      <c r="AB29" s="91"/>
      <c r="AC29" s="343">
        <f>AC28-AC23</f>
        <v>5025833</v>
      </c>
      <c r="AD29" s="91"/>
      <c r="AE29" s="91"/>
      <c r="AF29" s="91"/>
      <c r="AG29" s="91"/>
      <c r="AH29" s="91"/>
      <c r="AI29" s="343">
        <f>AI28-AI23</f>
        <v>5400886</v>
      </c>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row>
    <row r="30" spans="1:72">
      <c r="A30" s="339" t="s">
        <v>762</v>
      </c>
      <c r="B30" s="339" t="s">
        <v>763</v>
      </c>
      <c r="C30" s="91"/>
      <c r="D30" s="340">
        <v>1</v>
      </c>
      <c r="E30" s="340">
        <v>58577.68</v>
      </c>
      <c r="F30" s="341">
        <v>0</v>
      </c>
      <c r="G30" s="339" t="s">
        <v>762</v>
      </c>
      <c r="H30" s="339" t="s">
        <v>763</v>
      </c>
      <c r="I30" s="91"/>
      <c r="J30" s="340">
        <v>1</v>
      </c>
      <c r="K30" s="340">
        <v>50242.65</v>
      </c>
      <c r="L30" s="341">
        <v>0</v>
      </c>
      <c r="M30" s="349" t="s">
        <v>762</v>
      </c>
      <c r="N30" s="349" t="s">
        <v>763</v>
      </c>
      <c r="O30" s="347"/>
      <c r="P30" s="350">
        <v>1</v>
      </c>
      <c r="Q30" s="350">
        <v>50251.519999999997</v>
      </c>
      <c r="R30" s="351">
        <v>0</v>
      </c>
      <c r="S30" s="339" t="s">
        <v>762</v>
      </c>
      <c r="T30" s="339" t="s">
        <v>763</v>
      </c>
      <c r="U30" s="91"/>
      <c r="V30" s="340">
        <v>1</v>
      </c>
      <c r="W30" s="340">
        <v>43385.77</v>
      </c>
      <c r="X30" s="341">
        <v>0</v>
      </c>
      <c r="Y30" s="339" t="s">
        <v>762</v>
      </c>
      <c r="Z30" s="339" t="s">
        <v>763</v>
      </c>
      <c r="AA30" s="91"/>
      <c r="AB30" s="340">
        <v>1</v>
      </c>
      <c r="AC30" s="340">
        <v>39587.69</v>
      </c>
      <c r="AD30" s="341">
        <v>0</v>
      </c>
      <c r="AE30" s="339" t="s">
        <v>762</v>
      </c>
      <c r="AF30" s="339" t="s">
        <v>763</v>
      </c>
      <c r="AG30" s="91"/>
      <c r="AH30" s="340">
        <v>1</v>
      </c>
      <c r="AI30" s="340">
        <v>36399.919999999998</v>
      </c>
      <c r="AJ30" s="341">
        <v>0</v>
      </c>
      <c r="AK30" s="339" t="s">
        <v>762</v>
      </c>
      <c r="AL30" s="339" t="s">
        <v>763</v>
      </c>
      <c r="AM30" s="91"/>
      <c r="AN30" s="340">
        <v>1</v>
      </c>
      <c r="AO30" s="340">
        <v>38935.99</v>
      </c>
      <c r="AP30" s="341">
        <v>0</v>
      </c>
      <c r="AQ30" s="339" t="s">
        <v>762</v>
      </c>
      <c r="AR30" s="339" t="s">
        <v>763</v>
      </c>
      <c r="AS30" s="91"/>
      <c r="AT30" s="340">
        <v>1</v>
      </c>
      <c r="AU30" s="340">
        <v>43265.89</v>
      </c>
      <c r="AV30" s="341">
        <v>0</v>
      </c>
      <c r="AW30" s="339" t="s">
        <v>762</v>
      </c>
      <c r="AX30" s="339" t="s">
        <v>763</v>
      </c>
      <c r="AY30" s="91"/>
      <c r="AZ30" s="340">
        <v>1</v>
      </c>
      <c r="BA30" s="340">
        <v>47693.64</v>
      </c>
      <c r="BB30" s="341">
        <v>0</v>
      </c>
      <c r="BC30" s="339" t="s">
        <v>762</v>
      </c>
      <c r="BD30" s="339" t="s">
        <v>763</v>
      </c>
      <c r="BE30" s="91"/>
      <c r="BF30" s="340">
        <v>1</v>
      </c>
      <c r="BG30" s="340">
        <v>56173.68</v>
      </c>
      <c r="BH30" s="341">
        <v>0</v>
      </c>
      <c r="BI30" s="339" t="s">
        <v>762</v>
      </c>
      <c r="BJ30" s="339" t="s">
        <v>763</v>
      </c>
      <c r="BK30" s="91"/>
      <c r="BL30" s="340">
        <v>1</v>
      </c>
      <c r="BM30" s="340">
        <v>59174.51</v>
      </c>
      <c r="BN30" s="341">
        <v>0</v>
      </c>
      <c r="BO30" s="339" t="s">
        <v>762</v>
      </c>
      <c r="BP30" s="339" t="s">
        <v>763</v>
      </c>
      <c r="BQ30" s="91"/>
      <c r="BR30" s="340">
        <v>1</v>
      </c>
      <c r="BS30" s="340">
        <v>63602.82</v>
      </c>
      <c r="BT30" s="341">
        <v>0</v>
      </c>
    </row>
    <row r="31" spans="1:72">
      <c r="A31" s="342" t="s">
        <v>604</v>
      </c>
      <c r="B31" s="91"/>
      <c r="C31" s="91"/>
      <c r="D31" s="340">
        <v>1</v>
      </c>
      <c r="E31" s="340">
        <v>58577.68</v>
      </c>
      <c r="F31" s="341">
        <v>0</v>
      </c>
      <c r="G31" s="342" t="s">
        <v>604</v>
      </c>
      <c r="H31" s="91"/>
      <c r="I31" s="91"/>
      <c r="J31" s="340">
        <v>1</v>
      </c>
      <c r="K31" s="340">
        <v>50242.65</v>
      </c>
      <c r="L31" s="341">
        <v>0</v>
      </c>
      <c r="M31" s="352" t="s">
        <v>604</v>
      </c>
      <c r="N31" s="347"/>
      <c r="O31" s="347"/>
      <c r="P31" s="350">
        <v>1</v>
      </c>
      <c r="Q31" s="350">
        <v>50251.519999999997</v>
      </c>
      <c r="R31" s="351">
        <v>0</v>
      </c>
      <c r="S31" s="342" t="s">
        <v>604</v>
      </c>
      <c r="T31" s="91"/>
      <c r="U31" s="91"/>
      <c r="V31" s="340">
        <v>1</v>
      </c>
      <c r="W31" s="340">
        <v>43385.77</v>
      </c>
      <c r="X31" s="341">
        <v>0</v>
      </c>
      <c r="Y31" s="342" t="s">
        <v>604</v>
      </c>
      <c r="Z31" s="91"/>
      <c r="AA31" s="91"/>
      <c r="AB31" s="340">
        <v>1</v>
      </c>
      <c r="AC31" s="340">
        <v>39587.69</v>
      </c>
      <c r="AD31" s="341">
        <v>0</v>
      </c>
      <c r="AE31" s="342" t="s">
        <v>604</v>
      </c>
      <c r="AF31" s="91"/>
      <c r="AG31" s="91"/>
      <c r="AH31" s="340">
        <v>1</v>
      </c>
      <c r="AI31" s="340">
        <v>36399.919999999998</v>
      </c>
      <c r="AJ31" s="341">
        <v>0</v>
      </c>
      <c r="AK31" s="342" t="s">
        <v>604</v>
      </c>
      <c r="AL31" s="91"/>
      <c r="AM31" s="91"/>
      <c r="AN31" s="340">
        <v>1</v>
      </c>
      <c r="AO31" s="340">
        <v>38935.99</v>
      </c>
      <c r="AP31" s="341">
        <v>0</v>
      </c>
      <c r="AQ31" s="342" t="s">
        <v>604</v>
      </c>
      <c r="AR31" s="91"/>
      <c r="AS31" s="91"/>
      <c r="AT31" s="340">
        <v>1</v>
      </c>
      <c r="AU31" s="340">
        <v>43265.89</v>
      </c>
      <c r="AV31" s="341">
        <v>0</v>
      </c>
      <c r="AW31" s="342" t="s">
        <v>604</v>
      </c>
      <c r="AX31" s="91"/>
      <c r="AY31" s="91"/>
      <c r="AZ31" s="340">
        <v>1</v>
      </c>
      <c r="BA31" s="340">
        <v>47693.64</v>
      </c>
      <c r="BB31" s="341">
        <v>0</v>
      </c>
      <c r="BC31" s="342" t="s">
        <v>604</v>
      </c>
      <c r="BD31" s="91"/>
      <c r="BE31" s="91"/>
      <c r="BF31" s="340">
        <v>1</v>
      </c>
      <c r="BG31" s="340">
        <v>56173.68</v>
      </c>
      <c r="BH31" s="341">
        <v>0</v>
      </c>
      <c r="BI31" s="342" t="s">
        <v>604</v>
      </c>
      <c r="BJ31" s="91"/>
      <c r="BK31" s="91"/>
      <c r="BL31" s="340">
        <v>1</v>
      </c>
      <c r="BM31" s="340">
        <v>59174.51</v>
      </c>
      <c r="BN31" s="341">
        <v>0</v>
      </c>
      <c r="BO31" s="342" t="s">
        <v>604</v>
      </c>
      <c r="BP31" s="91"/>
      <c r="BQ31" s="91"/>
      <c r="BR31" s="340">
        <v>1</v>
      </c>
      <c r="BS31" s="340">
        <v>63602.82</v>
      </c>
      <c r="BT31" s="341">
        <v>0</v>
      </c>
    </row>
    <row r="32" spans="1:72">
      <c r="A32" s="91"/>
      <c r="B32" s="91"/>
      <c r="C32" s="91"/>
      <c r="D32" s="91"/>
      <c r="E32" s="91"/>
      <c r="F32" s="91"/>
      <c r="G32" s="91"/>
      <c r="H32" s="91"/>
      <c r="I32" s="91"/>
      <c r="J32" s="91"/>
      <c r="K32" s="91"/>
      <c r="L32" s="91"/>
      <c r="M32" s="347"/>
      <c r="N32" s="347"/>
      <c r="O32" s="347"/>
      <c r="P32" s="347"/>
      <c r="Q32" s="347"/>
      <c r="R32" s="347"/>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row>
    <row r="33" spans="1:72">
      <c r="A33" s="339" t="s">
        <v>764</v>
      </c>
      <c r="B33" s="339" t="s">
        <v>765</v>
      </c>
      <c r="C33" s="91"/>
      <c r="D33" s="340">
        <v>37</v>
      </c>
      <c r="E33" s="340">
        <v>108458</v>
      </c>
      <c r="F33" s="341">
        <v>0</v>
      </c>
      <c r="G33" s="339" t="s">
        <v>764</v>
      </c>
      <c r="H33" s="339" t="s">
        <v>765</v>
      </c>
      <c r="I33" s="91"/>
      <c r="J33" s="340">
        <v>37</v>
      </c>
      <c r="K33" s="340">
        <v>97764</v>
      </c>
      <c r="L33" s="341">
        <v>0</v>
      </c>
      <c r="M33" s="349" t="s">
        <v>764</v>
      </c>
      <c r="N33" s="349" t="s">
        <v>765</v>
      </c>
      <c r="O33" s="347"/>
      <c r="P33" s="350">
        <v>37</v>
      </c>
      <c r="Q33" s="350">
        <v>76261</v>
      </c>
      <c r="R33" s="351">
        <v>0</v>
      </c>
      <c r="S33" s="339" t="s">
        <v>764</v>
      </c>
      <c r="T33" s="339" t="s">
        <v>765</v>
      </c>
      <c r="U33" s="91"/>
      <c r="V33" s="340">
        <v>37</v>
      </c>
      <c r="W33" s="340">
        <v>61948</v>
      </c>
      <c r="X33" s="341">
        <v>0</v>
      </c>
      <c r="Y33" s="339" t="s">
        <v>764</v>
      </c>
      <c r="Z33" s="339" t="s">
        <v>765</v>
      </c>
      <c r="AA33" s="91"/>
      <c r="AB33" s="340">
        <v>37</v>
      </c>
      <c r="AC33" s="340">
        <v>42689</v>
      </c>
      <c r="AD33" s="341">
        <v>0</v>
      </c>
      <c r="AE33" s="339" t="s">
        <v>764</v>
      </c>
      <c r="AF33" s="339" t="s">
        <v>765</v>
      </c>
      <c r="AG33" s="91"/>
      <c r="AH33" s="340">
        <v>38</v>
      </c>
      <c r="AI33" s="340">
        <v>45430</v>
      </c>
      <c r="AJ33" s="341">
        <v>0</v>
      </c>
      <c r="AK33" s="339" t="s">
        <v>764</v>
      </c>
      <c r="AL33" s="339" t="s">
        <v>765</v>
      </c>
      <c r="AM33" s="91"/>
      <c r="AN33" s="340">
        <v>37</v>
      </c>
      <c r="AO33" s="340">
        <v>43591</v>
      </c>
      <c r="AP33" s="341">
        <v>0</v>
      </c>
      <c r="AQ33" s="339" t="s">
        <v>764</v>
      </c>
      <c r="AR33" s="339" t="s">
        <v>765</v>
      </c>
      <c r="AS33" s="91"/>
      <c r="AT33" s="340">
        <v>37</v>
      </c>
      <c r="AU33" s="340">
        <v>55282</v>
      </c>
      <c r="AV33" s="341">
        <v>0</v>
      </c>
      <c r="AW33" s="339" t="s">
        <v>764</v>
      </c>
      <c r="AX33" s="339" t="s">
        <v>765</v>
      </c>
      <c r="AY33" s="91"/>
      <c r="AZ33" s="340">
        <v>37</v>
      </c>
      <c r="BA33" s="340">
        <v>43260</v>
      </c>
      <c r="BB33" s="341">
        <v>0</v>
      </c>
      <c r="BC33" s="339" t="s">
        <v>764</v>
      </c>
      <c r="BD33" s="339" t="s">
        <v>765</v>
      </c>
      <c r="BE33" s="91"/>
      <c r="BF33" s="340">
        <v>37</v>
      </c>
      <c r="BG33" s="340">
        <v>36333</v>
      </c>
      <c r="BH33" s="341">
        <v>0</v>
      </c>
      <c r="BI33" s="339" t="s">
        <v>764</v>
      </c>
      <c r="BJ33" s="339" t="s">
        <v>765</v>
      </c>
      <c r="BK33" s="91"/>
      <c r="BL33" s="340">
        <v>37</v>
      </c>
      <c r="BM33" s="340">
        <v>48849</v>
      </c>
      <c r="BN33" s="341">
        <v>0</v>
      </c>
      <c r="BO33" s="339" t="s">
        <v>764</v>
      </c>
      <c r="BP33" s="339" t="s">
        <v>765</v>
      </c>
      <c r="BQ33" s="91"/>
      <c r="BR33" s="340">
        <v>37</v>
      </c>
      <c r="BS33" s="340">
        <v>56290</v>
      </c>
      <c r="BT33" s="341">
        <v>0</v>
      </c>
    </row>
    <row r="34" spans="1:72">
      <c r="A34" s="342" t="s">
        <v>766</v>
      </c>
      <c r="B34" s="91"/>
      <c r="C34" s="91"/>
      <c r="D34" s="340">
        <v>37</v>
      </c>
      <c r="E34" s="340">
        <v>108458</v>
      </c>
      <c r="F34" s="341">
        <v>0</v>
      </c>
      <c r="G34" s="342" t="s">
        <v>766</v>
      </c>
      <c r="H34" s="91"/>
      <c r="I34" s="91"/>
      <c r="J34" s="340">
        <v>37</v>
      </c>
      <c r="K34" s="340">
        <v>97764</v>
      </c>
      <c r="L34" s="341">
        <v>0</v>
      </c>
      <c r="M34" s="352" t="s">
        <v>766</v>
      </c>
      <c r="N34" s="347"/>
      <c r="O34" s="347"/>
      <c r="P34" s="350">
        <v>37</v>
      </c>
      <c r="Q34" s="350">
        <v>76261</v>
      </c>
      <c r="R34" s="351">
        <v>0</v>
      </c>
      <c r="S34" s="342" t="s">
        <v>766</v>
      </c>
      <c r="T34" s="91"/>
      <c r="U34" s="91"/>
      <c r="V34" s="340">
        <v>37</v>
      </c>
      <c r="W34" s="340">
        <v>61948</v>
      </c>
      <c r="X34" s="341">
        <v>0</v>
      </c>
      <c r="Y34" s="342" t="s">
        <v>766</v>
      </c>
      <c r="Z34" s="91"/>
      <c r="AA34" s="91"/>
      <c r="AB34" s="340">
        <v>37</v>
      </c>
      <c r="AC34" s="340">
        <v>42689</v>
      </c>
      <c r="AD34" s="341">
        <v>0</v>
      </c>
      <c r="AE34" s="342" t="s">
        <v>766</v>
      </c>
      <c r="AF34" s="91"/>
      <c r="AG34" s="91"/>
      <c r="AH34" s="340">
        <v>38</v>
      </c>
      <c r="AI34" s="340">
        <v>45430</v>
      </c>
      <c r="AJ34" s="341">
        <v>0</v>
      </c>
      <c r="AK34" s="342" t="s">
        <v>766</v>
      </c>
      <c r="AL34" s="91"/>
      <c r="AM34" s="91"/>
      <c r="AN34" s="340">
        <v>37</v>
      </c>
      <c r="AO34" s="340">
        <v>43591</v>
      </c>
      <c r="AP34" s="341">
        <v>0</v>
      </c>
      <c r="AQ34" s="342" t="s">
        <v>766</v>
      </c>
      <c r="AR34" s="91"/>
      <c r="AS34" s="91"/>
      <c r="AT34" s="340">
        <v>37</v>
      </c>
      <c r="AU34" s="340">
        <v>55282</v>
      </c>
      <c r="AV34" s="341">
        <v>0</v>
      </c>
      <c r="AW34" s="342" t="s">
        <v>766</v>
      </c>
      <c r="AX34" s="91"/>
      <c r="AY34" s="91"/>
      <c r="AZ34" s="340">
        <v>37</v>
      </c>
      <c r="BA34" s="340">
        <v>43260</v>
      </c>
      <c r="BB34" s="341">
        <v>0</v>
      </c>
      <c r="BC34" s="342" t="s">
        <v>766</v>
      </c>
      <c r="BD34" s="91"/>
      <c r="BE34" s="91"/>
      <c r="BF34" s="340">
        <v>37</v>
      </c>
      <c r="BG34" s="340">
        <v>36333</v>
      </c>
      <c r="BH34" s="341">
        <v>0</v>
      </c>
      <c r="BI34" s="342" t="s">
        <v>766</v>
      </c>
      <c r="BJ34" s="91"/>
      <c r="BK34" s="91"/>
      <c r="BL34" s="340">
        <v>37</v>
      </c>
      <c r="BM34" s="340">
        <v>48849</v>
      </c>
      <c r="BN34" s="341">
        <v>0</v>
      </c>
      <c r="BO34" s="342" t="s">
        <v>766</v>
      </c>
      <c r="BP34" s="91"/>
      <c r="BQ34" s="91"/>
      <c r="BR34" s="340">
        <v>37</v>
      </c>
      <c r="BS34" s="340">
        <v>56290</v>
      </c>
      <c r="BT34" s="341">
        <v>0</v>
      </c>
    </row>
    <row r="35" spans="1:72">
      <c r="A35" s="91"/>
      <c r="B35" s="91"/>
      <c r="C35" s="91"/>
      <c r="D35" s="91"/>
      <c r="E35" s="91"/>
      <c r="F35" s="91"/>
      <c r="G35" s="91"/>
      <c r="H35" s="91"/>
      <c r="I35" s="91"/>
      <c r="J35" s="91"/>
      <c r="K35" s="91"/>
      <c r="L35" s="91"/>
      <c r="M35" s="347"/>
      <c r="N35" s="347"/>
      <c r="O35" s="347"/>
      <c r="P35" s="347"/>
      <c r="Q35" s="347"/>
      <c r="R35" s="347"/>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row>
    <row r="36" spans="1:72">
      <c r="A36" s="339" t="s">
        <v>767</v>
      </c>
      <c r="B36" s="339" t="s">
        <v>768</v>
      </c>
      <c r="C36" s="91"/>
      <c r="D36" s="340">
        <v>5038</v>
      </c>
      <c r="E36" s="340">
        <v>7076197</v>
      </c>
      <c r="F36" s="341">
        <v>672.72</v>
      </c>
      <c r="G36" s="339" t="s">
        <v>767</v>
      </c>
      <c r="H36" s="339" t="s">
        <v>768</v>
      </c>
      <c r="I36" s="91"/>
      <c r="J36" s="340">
        <v>5012</v>
      </c>
      <c r="K36" s="340">
        <v>7052204</v>
      </c>
      <c r="L36" s="341">
        <v>715.39</v>
      </c>
      <c r="M36" s="349" t="s">
        <v>767</v>
      </c>
      <c r="N36" s="349" t="s">
        <v>768</v>
      </c>
      <c r="O36" s="347"/>
      <c r="P36" s="350">
        <v>4990</v>
      </c>
      <c r="Q36" s="350">
        <v>5142582</v>
      </c>
      <c r="R36" s="351">
        <v>654.5</v>
      </c>
      <c r="S36" s="339" t="s">
        <v>767</v>
      </c>
      <c r="T36" s="339" t="s">
        <v>768</v>
      </c>
      <c r="U36" s="91"/>
      <c r="V36" s="340">
        <v>4995</v>
      </c>
      <c r="W36" s="340">
        <v>4397663</v>
      </c>
      <c r="X36" s="341">
        <v>654.16999999999996</v>
      </c>
      <c r="Y36" s="339" t="s">
        <v>767</v>
      </c>
      <c r="Z36" s="339" t="s">
        <v>768</v>
      </c>
      <c r="AA36" s="91"/>
      <c r="AB36" s="340">
        <v>5097</v>
      </c>
      <c r="AC36" s="340">
        <v>3595520</v>
      </c>
      <c r="AD36" s="341">
        <v>577.61</v>
      </c>
      <c r="AE36" s="339" t="s">
        <v>767</v>
      </c>
      <c r="AF36" s="339" t="s">
        <v>768</v>
      </c>
      <c r="AG36" s="91"/>
      <c r="AH36" s="340">
        <v>5225</v>
      </c>
      <c r="AI36" s="340">
        <v>3301419</v>
      </c>
      <c r="AJ36" s="341">
        <v>576.45000000000005</v>
      </c>
      <c r="AK36" s="339" t="s">
        <v>767</v>
      </c>
      <c r="AL36" s="339" t="s">
        <v>768</v>
      </c>
      <c r="AM36" s="91"/>
      <c r="AN36" s="340">
        <v>5455</v>
      </c>
      <c r="AO36" s="340">
        <v>3574231</v>
      </c>
      <c r="AP36" s="341">
        <v>613.84</v>
      </c>
      <c r="AQ36" s="339" t="s">
        <v>767</v>
      </c>
      <c r="AR36" s="339" t="s">
        <v>768</v>
      </c>
      <c r="AS36" s="91"/>
      <c r="AT36" s="340">
        <v>5938</v>
      </c>
      <c r="AU36" s="340">
        <v>4443486</v>
      </c>
      <c r="AV36" s="341">
        <v>706.04</v>
      </c>
      <c r="AW36" s="339" t="s">
        <v>767</v>
      </c>
      <c r="AX36" s="339" t="s">
        <v>768</v>
      </c>
      <c r="AY36" s="91"/>
      <c r="AZ36" s="340">
        <v>5050</v>
      </c>
      <c r="BA36" s="340">
        <v>3829425</v>
      </c>
      <c r="BB36" s="341">
        <v>627.21</v>
      </c>
      <c r="BC36" s="339" t="s">
        <v>767</v>
      </c>
      <c r="BD36" s="339" t="s">
        <v>768</v>
      </c>
      <c r="BE36" s="91"/>
      <c r="BF36" s="340">
        <v>5007</v>
      </c>
      <c r="BG36" s="340">
        <v>3318615</v>
      </c>
      <c r="BH36" s="341">
        <v>587.65</v>
      </c>
      <c r="BI36" s="339" t="s">
        <v>767</v>
      </c>
      <c r="BJ36" s="339" t="s">
        <v>768</v>
      </c>
      <c r="BK36" s="91"/>
      <c r="BL36" s="340">
        <v>4996</v>
      </c>
      <c r="BM36" s="340">
        <v>4087170</v>
      </c>
      <c r="BN36" s="341">
        <v>622.23</v>
      </c>
      <c r="BO36" s="339" t="s">
        <v>767</v>
      </c>
      <c r="BP36" s="339" t="s">
        <v>768</v>
      </c>
      <c r="BQ36" s="91"/>
      <c r="BR36" s="340">
        <v>5015</v>
      </c>
      <c r="BS36" s="340">
        <v>4339508</v>
      </c>
      <c r="BT36" s="341">
        <v>673</v>
      </c>
    </row>
    <row r="37" spans="1:72">
      <c r="A37" s="342" t="s">
        <v>769</v>
      </c>
      <c r="B37" s="91"/>
      <c r="C37" s="91"/>
      <c r="D37" s="340">
        <v>5038</v>
      </c>
      <c r="E37" s="340">
        <v>7076197</v>
      </c>
      <c r="F37" s="341">
        <v>672.72</v>
      </c>
      <c r="G37" s="342" t="s">
        <v>769</v>
      </c>
      <c r="H37" s="91"/>
      <c r="I37" s="91"/>
      <c r="J37" s="340">
        <v>5012</v>
      </c>
      <c r="K37" s="340">
        <v>7052204</v>
      </c>
      <c r="L37" s="341">
        <v>715.39</v>
      </c>
      <c r="M37" s="352" t="s">
        <v>769</v>
      </c>
      <c r="N37" s="347"/>
      <c r="O37" s="347"/>
      <c r="P37" s="350">
        <v>4990</v>
      </c>
      <c r="Q37" s="350">
        <v>5142582</v>
      </c>
      <c r="R37" s="351">
        <v>654.5</v>
      </c>
      <c r="S37" s="342" t="s">
        <v>769</v>
      </c>
      <c r="T37" s="91"/>
      <c r="U37" s="91"/>
      <c r="V37" s="340">
        <v>4995</v>
      </c>
      <c r="W37" s="340">
        <v>4397663</v>
      </c>
      <c r="X37" s="341">
        <v>654.16999999999996</v>
      </c>
      <c r="Y37" s="342" t="s">
        <v>769</v>
      </c>
      <c r="Z37" s="91"/>
      <c r="AA37" s="91"/>
      <c r="AB37" s="340">
        <v>5097</v>
      </c>
      <c r="AC37" s="340">
        <v>3595520</v>
      </c>
      <c r="AD37" s="341">
        <v>577.61</v>
      </c>
      <c r="AE37" s="342" t="s">
        <v>769</v>
      </c>
      <c r="AF37" s="91"/>
      <c r="AG37" s="91"/>
      <c r="AH37" s="340">
        <v>5225</v>
      </c>
      <c r="AI37" s="340">
        <v>3301419</v>
      </c>
      <c r="AJ37" s="341">
        <v>576.45000000000005</v>
      </c>
      <c r="AK37" s="342" t="s">
        <v>769</v>
      </c>
      <c r="AL37" s="91"/>
      <c r="AM37" s="91"/>
      <c r="AN37" s="340">
        <v>5455</v>
      </c>
      <c r="AO37" s="340">
        <v>3574231</v>
      </c>
      <c r="AP37" s="341">
        <v>613.84</v>
      </c>
      <c r="AQ37" s="342" t="s">
        <v>769</v>
      </c>
      <c r="AR37" s="91"/>
      <c r="AS37" s="91"/>
      <c r="AT37" s="340">
        <v>5938</v>
      </c>
      <c r="AU37" s="340">
        <v>4443486</v>
      </c>
      <c r="AV37" s="341">
        <v>706.04</v>
      </c>
      <c r="AW37" s="342" t="s">
        <v>769</v>
      </c>
      <c r="AX37" s="91"/>
      <c r="AY37" s="91"/>
      <c r="AZ37" s="340">
        <v>5050</v>
      </c>
      <c r="BA37" s="340">
        <v>3829425</v>
      </c>
      <c r="BB37" s="341">
        <v>627.21</v>
      </c>
      <c r="BC37" s="342" t="s">
        <v>769</v>
      </c>
      <c r="BD37" s="91"/>
      <c r="BE37" s="91"/>
      <c r="BF37" s="340">
        <v>5007</v>
      </c>
      <c r="BG37" s="340">
        <v>3318615</v>
      </c>
      <c r="BH37" s="341">
        <v>587.65</v>
      </c>
      <c r="BI37" s="342" t="s">
        <v>769</v>
      </c>
      <c r="BJ37" s="91"/>
      <c r="BK37" s="91"/>
      <c r="BL37" s="340">
        <v>4996</v>
      </c>
      <c r="BM37" s="340">
        <v>4087170</v>
      </c>
      <c r="BN37" s="341">
        <v>622.23</v>
      </c>
      <c r="BO37" s="342" t="s">
        <v>769</v>
      </c>
      <c r="BP37" s="91"/>
      <c r="BQ37" s="91"/>
      <c r="BR37" s="340">
        <v>5015</v>
      </c>
      <c r="BS37" s="340">
        <v>4339508</v>
      </c>
      <c r="BT37" s="341">
        <v>673</v>
      </c>
    </row>
    <row r="38" spans="1:72">
      <c r="A38" s="91"/>
      <c r="B38" s="91"/>
      <c r="C38" s="91"/>
      <c r="D38" s="91"/>
      <c r="E38" s="91"/>
      <c r="F38" s="91"/>
      <c r="G38" s="91"/>
      <c r="H38" s="91"/>
      <c r="I38" s="91"/>
      <c r="J38" s="91"/>
      <c r="K38" s="91"/>
      <c r="L38" s="91"/>
      <c r="M38" s="347"/>
      <c r="N38" s="347"/>
      <c r="O38" s="347"/>
      <c r="P38" s="347"/>
      <c r="Q38" s="347"/>
      <c r="R38" s="347"/>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104"/>
      <c r="BJ38" s="100"/>
      <c r="BK38" s="100"/>
      <c r="BL38" s="100"/>
      <c r="BM38" s="100"/>
      <c r="BN38" s="105"/>
      <c r="BO38" s="91"/>
      <c r="BP38" s="91"/>
      <c r="BQ38" s="91"/>
      <c r="BR38" s="91"/>
      <c r="BS38" s="91"/>
      <c r="BT38" s="91"/>
    </row>
    <row r="39" spans="1:72">
      <c r="A39" s="344" t="s">
        <v>770</v>
      </c>
      <c r="B39" s="91"/>
      <c r="C39" s="91"/>
      <c r="D39" s="340">
        <v>6235</v>
      </c>
      <c r="E39" s="340">
        <v>31299166.68</v>
      </c>
      <c r="F39" s="345">
        <v>53542.51</v>
      </c>
      <c r="G39" s="344" t="s">
        <v>770</v>
      </c>
      <c r="H39" s="91"/>
      <c r="I39" s="91"/>
      <c r="J39" s="340">
        <v>6208</v>
      </c>
      <c r="K39" s="340">
        <v>29899884.649999999</v>
      </c>
      <c r="L39" s="345">
        <v>53697.82</v>
      </c>
      <c r="M39" s="353" t="s">
        <v>770</v>
      </c>
      <c r="N39" s="347"/>
      <c r="O39" s="347"/>
      <c r="P39" s="350">
        <v>6187</v>
      </c>
      <c r="Q39" s="350">
        <v>26977483.52</v>
      </c>
      <c r="R39" s="354">
        <v>55286.81</v>
      </c>
      <c r="S39" s="344" t="s">
        <v>770</v>
      </c>
      <c r="T39" s="91"/>
      <c r="U39" s="91"/>
      <c r="V39" s="340">
        <v>6187</v>
      </c>
      <c r="W39" s="340">
        <v>28448992.77</v>
      </c>
      <c r="X39" s="345">
        <v>59886.03</v>
      </c>
      <c r="Y39" s="344" t="s">
        <v>770</v>
      </c>
      <c r="Z39" s="91"/>
      <c r="AA39" s="91"/>
      <c r="AB39" s="340">
        <v>6291</v>
      </c>
      <c r="AC39" s="340">
        <v>26444083.690000001</v>
      </c>
      <c r="AD39" s="345">
        <v>57133.94</v>
      </c>
      <c r="AE39" s="344" t="s">
        <v>770</v>
      </c>
      <c r="AF39" s="91"/>
      <c r="AG39" s="91"/>
      <c r="AH39" s="340">
        <v>6420</v>
      </c>
      <c r="AI39" s="340">
        <v>28883145.920000002</v>
      </c>
      <c r="AJ39" s="345">
        <v>56652.83</v>
      </c>
      <c r="AK39" s="344" t="s">
        <v>770</v>
      </c>
      <c r="AL39" s="91"/>
      <c r="AM39" s="91"/>
      <c r="AN39" s="340">
        <v>6649</v>
      </c>
      <c r="AO39" s="340">
        <v>28418963.989999998</v>
      </c>
      <c r="AP39" s="345">
        <v>58524.68</v>
      </c>
      <c r="AQ39" s="344" t="s">
        <v>770</v>
      </c>
      <c r="AR39" s="91"/>
      <c r="AS39" s="91"/>
      <c r="AT39" s="340">
        <v>7134</v>
      </c>
      <c r="AU39" s="340">
        <v>33586422.890000001</v>
      </c>
      <c r="AV39" s="345">
        <v>63509.32</v>
      </c>
      <c r="AW39" s="344" t="s">
        <v>770</v>
      </c>
      <c r="AX39" s="91"/>
      <c r="AY39" s="91"/>
      <c r="AZ39" s="340">
        <v>6249</v>
      </c>
      <c r="BA39" s="340">
        <v>28937409.640000001</v>
      </c>
      <c r="BB39" s="345">
        <v>63969.73</v>
      </c>
      <c r="BC39" s="344" t="s">
        <v>770</v>
      </c>
      <c r="BD39" s="91"/>
      <c r="BE39" s="91"/>
      <c r="BF39" s="340">
        <v>6206</v>
      </c>
      <c r="BG39" s="340">
        <v>26006781.68</v>
      </c>
      <c r="BH39" s="345">
        <v>60716.23</v>
      </c>
      <c r="BI39" s="136" t="s">
        <v>770</v>
      </c>
      <c r="BJ39" s="109"/>
      <c r="BK39" s="109"/>
      <c r="BL39" s="137">
        <v>6227</v>
      </c>
      <c r="BM39" s="137">
        <v>24899645.109999999</v>
      </c>
      <c r="BN39" s="138">
        <v>59921.42</v>
      </c>
      <c r="BO39" s="344" t="s">
        <v>770</v>
      </c>
      <c r="BP39" s="91"/>
      <c r="BQ39" s="91"/>
      <c r="BR39" s="340">
        <v>6221</v>
      </c>
      <c r="BS39" s="340">
        <v>25417046.82</v>
      </c>
      <c r="BT39" s="345">
        <v>57507.92</v>
      </c>
    </row>
    <row r="40" spans="1:72">
      <c r="A40" s="93" t="s">
        <v>55</v>
      </c>
      <c r="C40" s="92">
        <f>E36</f>
        <v>7076197</v>
      </c>
      <c r="D40" s="91"/>
      <c r="E40" s="91"/>
      <c r="F40" s="91"/>
      <c r="G40" s="93" t="s">
        <v>55</v>
      </c>
      <c r="I40" s="92">
        <f>K36</f>
        <v>7052204</v>
      </c>
      <c r="M40" s="93" t="s">
        <v>55</v>
      </c>
      <c r="O40" s="92">
        <f>Q36</f>
        <v>5142582</v>
      </c>
      <c r="S40" s="93" t="s">
        <v>55</v>
      </c>
      <c r="U40" s="92">
        <f>W36</f>
        <v>4397663</v>
      </c>
      <c r="Y40" s="93" t="s">
        <v>55</v>
      </c>
      <c r="AA40" s="92">
        <f>AC36</f>
        <v>3595520</v>
      </c>
      <c r="AE40" s="93" t="s">
        <v>55</v>
      </c>
      <c r="AG40" s="92">
        <f>AI36</f>
        <v>3301419</v>
      </c>
      <c r="AK40" s="93" t="s">
        <v>55</v>
      </c>
      <c r="AM40" s="92">
        <f>AO36</f>
        <v>3574231</v>
      </c>
      <c r="AQ40" s="93" t="s">
        <v>55</v>
      </c>
      <c r="AS40" s="92">
        <f>AU36</f>
        <v>4443486</v>
      </c>
      <c r="AW40" s="93" t="s">
        <v>55</v>
      </c>
      <c r="AY40" s="92">
        <f>BA36</f>
        <v>3829425</v>
      </c>
      <c r="BC40" s="93" t="s">
        <v>55</v>
      </c>
      <c r="BE40" s="92">
        <f>BG36</f>
        <v>3318615</v>
      </c>
      <c r="BI40" s="93" t="s">
        <v>55</v>
      </c>
      <c r="BK40" s="92">
        <f>BM36</f>
        <v>4087170</v>
      </c>
      <c r="BO40" s="93" t="s">
        <v>55</v>
      </c>
      <c r="BQ40" s="92">
        <f>BS36</f>
        <v>4339508</v>
      </c>
    </row>
    <row r="41" spans="1:72">
      <c r="A41" s="93" t="s">
        <v>56</v>
      </c>
      <c r="C41" s="92">
        <f>SUM(E18:E22)</f>
        <v>5643479</v>
      </c>
      <c r="D41" s="91"/>
      <c r="E41" s="91"/>
      <c r="F41" s="91"/>
      <c r="G41" s="93" t="s">
        <v>56</v>
      </c>
      <c r="I41" s="92">
        <f>SUM(K18:K22)</f>
        <v>5204784</v>
      </c>
      <c r="M41" s="93" t="s">
        <v>56</v>
      </c>
      <c r="O41" s="92">
        <f>SUM(Q18:Q22)</f>
        <v>4293453</v>
      </c>
      <c r="S41" s="93" t="s">
        <v>56</v>
      </c>
      <c r="U41" s="92">
        <f>SUM(W18:W22)</f>
        <v>4511057</v>
      </c>
      <c r="Y41" s="93" t="s">
        <v>56</v>
      </c>
      <c r="AA41" s="92">
        <f>SUM(AC18:AC22)</f>
        <v>4537240</v>
      </c>
      <c r="AE41" s="93" t="s">
        <v>56</v>
      </c>
      <c r="AG41" s="92">
        <f>SUM(AI18:AI22)</f>
        <v>4898117</v>
      </c>
      <c r="AK41" s="93" t="s">
        <v>56</v>
      </c>
      <c r="AM41" s="92">
        <f>SUM(AO18:AO22)</f>
        <v>5133594</v>
      </c>
      <c r="AQ41" s="93" t="s">
        <v>56</v>
      </c>
      <c r="AS41" s="92">
        <f>SUM(AU18:AU22)</f>
        <v>6032461</v>
      </c>
      <c r="AW41" s="93" t="s">
        <v>56</v>
      </c>
      <c r="AY41" s="92">
        <f>SUM(BA18:BA22)</f>
        <v>4598720</v>
      </c>
      <c r="BC41" s="93" t="s">
        <v>56</v>
      </c>
      <c r="BE41" s="92">
        <f>SUM(BG18:BG22)</f>
        <v>4422983</v>
      </c>
      <c r="BI41" s="93" t="s">
        <v>56</v>
      </c>
      <c r="BK41" s="92">
        <f>SUM(BM18:BM22)</f>
        <v>4279416</v>
      </c>
      <c r="BO41" s="93" t="s">
        <v>56</v>
      </c>
      <c r="BQ41" s="92">
        <f>SUM(BS18:BS22)</f>
        <v>4487282</v>
      </c>
    </row>
    <row r="42" spans="1:72">
      <c r="A42" s="93" t="s">
        <v>57</v>
      </c>
      <c r="C42" s="92">
        <f>SUM(E23)</f>
        <v>1102860</v>
      </c>
      <c r="D42" s="91"/>
      <c r="E42" s="91"/>
      <c r="F42" s="91"/>
      <c r="G42" s="93" t="s">
        <v>57</v>
      </c>
      <c r="I42" s="92">
        <f>SUM(K23)</f>
        <v>1122060</v>
      </c>
      <c r="M42" s="93" t="s">
        <v>57</v>
      </c>
      <c r="O42" s="92">
        <f>SUM(Q23)</f>
        <v>1157820</v>
      </c>
      <c r="S42" s="93" t="s">
        <v>57</v>
      </c>
      <c r="U42" s="92">
        <f>SUM(W23)</f>
        <v>1081760</v>
      </c>
      <c r="Y42" s="93" t="s">
        <v>57</v>
      </c>
      <c r="AA42" s="92">
        <f>SUM(AC23)</f>
        <v>1144740</v>
      </c>
      <c r="AE42" s="93" t="s">
        <v>57</v>
      </c>
      <c r="AG42" s="92">
        <f>SUM(AI23)</f>
        <v>1199300</v>
      </c>
      <c r="AK42" s="93" t="s">
        <v>57</v>
      </c>
      <c r="AM42" s="92">
        <f>SUM(AO23)</f>
        <v>1440760</v>
      </c>
      <c r="AQ42" s="93" t="s">
        <v>57</v>
      </c>
      <c r="AS42" s="92">
        <f>SUM(AU23)</f>
        <v>1255140</v>
      </c>
      <c r="AW42" s="93" t="s">
        <v>57</v>
      </c>
      <c r="AY42" s="92">
        <f>SUM(BA23)</f>
        <v>1226340</v>
      </c>
      <c r="BC42" s="93" t="s">
        <v>57</v>
      </c>
      <c r="BE42" s="92">
        <f>SUM(BG23)</f>
        <v>1136480</v>
      </c>
      <c r="BI42" s="93" t="s">
        <v>57</v>
      </c>
      <c r="BK42" s="92">
        <f>SUM(BM23)</f>
        <v>1168600</v>
      </c>
      <c r="BO42" s="93" t="s">
        <v>57</v>
      </c>
      <c r="BQ42" s="92">
        <f>SUM(BS23)</f>
        <v>1095920</v>
      </c>
    </row>
    <row r="43" spans="1:72">
      <c r="A43" s="93" t="s">
        <v>772</v>
      </c>
      <c r="C43" s="92">
        <f>SUM(E24,E26,E27,E30)</f>
        <v>489114.68</v>
      </c>
      <c r="D43" s="91"/>
      <c r="E43" s="91"/>
      <c r="F43" s="91"/>
      <c r="G43" s="93" t="s">
        <v>772</v>
      </c>
      <c r="I43" s="92">
        <f>SUM(K24,K26,K27,K30)</f>
        <v>477948.65</v>
      </c>
      <c r="M43" s="93" t="s">
        <v>772</v>
      </c>
      <c r="O43" s="92">
        <f>SUM(Q24,Q26,Q27,Q30)</f>
        <v>425863.52</v>
      </c>
      <c r="S43" s="93" t="s">
        <v>772</v>
      </c>
      <c r="U43" s="92">
        <f>SUM(W24,W26,W27,W30)</f>
        <v>411373.77</v>
      </c>
      <c r="Y43" s="93" t="s">
        <v>772</v>
      </c>
      <c r="AA43" s="92">
        <f>SUM(AC24,AC26,AC27,AC30)</f>
        <v>401102.69</v>
      </c>
      <c r="AE43" s="93" t="s">
        <v>772</v>
      </c>
      <c r="AG43" s="92">
        <f>SUM(AI24,AI26,AI27,AI30)</f>
        <v>409867.92</v>
      </c>
      <c r="AK43" s="93" t="s">
        <v>772</v>
      </c>
      <c r="AM43" s="92">
        <f>SUM(AO24,AO26,AO27,AO30)</f>
        <v>447734.99</v>
      </c>
      <c r="AQ43" s="93" t="s">
        <v>772</v>
      </c>
      <c r="AS43" s="92">
        <f>SUM(AU24,AU26,AU27,AU30)</f>
        <v>489541.89</v>
      </c>
      <c r="AW43" s="93" t="s">
        <v>772</v>
      </c>
      <c r="AY43" s="92">
        <f>SUM(BA24,BA26,BA27,BA30)</f>
        <v>414450.64</v>
      </c>
      <c r="BC43" s="93" t="s">
        <v>772</v>
      </c>
      <c r="BE43" s="92">
        <f>SUM(BG24,BG26,BG27,BG30)</f>
        <v>418636.68</v>
      </c>
      <c r="BI43" s="93" t="s">
        <v>772</v>
      </c>
      <c r="BK43" s="92">
        <f>SUM(BM24,BM26,BM27,BM30)</f>
        <v>426846.51</v>
      </c>
      <c r="BO43" s="93" t="s">
        <v>772</v>
      </c>
      <c r="BQ43" s="92">
        <f>SUM(BS24,BS26,BS27,BS30)</f>
        <v>434397.82</v>
      </c>
    </row>
    <row r="44" spans="1:72">
      <c r="A44" s="93" t="s">
        <v>771</v>
      </c>
      <c r="C44" s="92">
        <f>E25</f>
        <v>30670</v>
      </c>
      <c r="D44" s="91"/>
      <c r="E44" s="91"/>
      <c r="F44" s="91"/>
      <c r="G44" s="93" t="s">
        <v>771</v>
      </c>
      <c r="I44" s="92">
        <f>K25</f>
        <v>31741</v>
      </c>
      <c r="M44" s="93" t="s">
        <v>771</v>
      </c>
      <c r="O44" s="92">
        <f>Q25</f>
        <v>25132</v>
      </c>
      <c r="S44" s="93" t="s">
        <v>771</v>
      </c>
      <c r="U44" s="92">
        <f>W25</f>
        <v>24856</v>
      </c>
      <c r="Y44" s="93" t="s">
        <v>771</v>
      </c>
      <c r="AA44" s="92">
        <f>AC25</f>
        <v>20766</v>
      </c>
      <c r="AE44" s="93" t="s">
        <v>771</v>
      </c>
      <c r="AG44" s="92">
        <f>AI25</f>
        <v>20045</v>
      </c>
      <c r="AK44" s="93" t="s">
        <v>771</v>
      </c>
      <c r="AM44" s="92">
        <f>AO25</f>
        <v>19910</v>
      </c>
      <c r="AQ44" s="93" t="s">
        <v>771</v>
      </c>
      <c r="AS44" s="92">
        <f>AU25</f>
        <v>26151</v>
      </c>
      <c r="AW44" s="93" t="s">
        <v>771</v>
      </c>
      <c r="AY44" s="92">
        <f>BA25</f>
        <v>23227</v>
      </c>
      <c r="BC44" s="93" t="s">
        <v>771</v>
      </c>
      <c r="BE44" s="92">
        <f>BG25</f>
        <v>20810</v>
      </c>
      <c r="BI44" s="93" t="s">
        <v>771</v>
      </c>
      <c r="BK44" s="92">
        <f>BM25</f>
        <v>21319</v>
      </c>
      <c r="BO44" s="93" t="s">
        <v>771</v>
      </c>
      <c r="BQ44" s="92">
        <f>BS25</f>
        <v>22845</v>
      </c>
    </row>
    <row r="45" spans="1:72">
      <c r="A45" s="473" t="s">
        <v>966</v>
      </c>
      <c r="B45" s="70"/>
      <c r="C45" s="71"/>
      <c r="D45" s="91"/>
      <c r="E45" s="91"/>
      <c r="F45" s="91"/>
    </row>
    <row r="46" spans="1:72">
      <c r="A46" s="474" t="s">
        <v>55</v>
      </c>
      <c r="B46" s="33"/>
      <c r="C46" s="308">
        <f>SUM(C40,I40,O40,U40,AA40,AG40,AM40,AS40,AY40,BE40,BK40,BQ40)</f>
        <v>54158020</v>
      </c>
    </row>
    <row r="47" spans="1:72">
      <c r="A47" s="474" t="s">
        <v>56</v>
      </c>
      <c r="B47" s="33"/>
      <c r="C47" s="308">
        <f>SUM(C41,I41,O41,U41,AA41,AG41,AM41,AS41,AY41,BE41,BK41,BQ41)</f>
        <v>58042586</v>
      </c>
    </row>
    <row r="48" spans="1:72">
      <c r="A48" s="474" t="s">
        <v>57</v>
      </c>
      <c r="B48" s="33"/>
      <c r="C48" s="308">
        <f t="shared" ref="C48:C50" si="0">SUM(C42,I42,O42,U42,AA42,AG42,AM42,AS42,AY42,BE42,BK42,BQ42)</f>
        <v>14131780</v>
      </c>
    </row>
    <row r="49" spans="1:3">
      <c r="A49" s="474" t="s">
        <v>772</v>
      </c>
      <c r="B49" s="33"/>
      <c r="C49" s="308">
        <f t="shared" si="0"/>
        <v>5246879.76</v>
      </c>
    </row>
    <row r="50" spans="1:3">
      <c r="A50" s="475" t="s">
        <v>771</v>
      </c>
      <c r="B50" s="45"/>
      <c r="C50" s="476">
        <f t="shared" si="0"/>
        <v>287472</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1:BT50"/>
  <sheetViews>
    <sheetView topLeftCell="AJ13" zoomScale="60" zoomScaleNormal="60" workbookViewId="0">
      <selection activeCell="BQ40" activeCellId="11" sqref="C40 I40 O40 U40 AA40 AG40 AM40 AS40 AY40 BE40 BK40 BQ40"/>
    </sheetView>
  </sheetViews>
  <sheetFormatPr defaultRowHeight="15"/>
  <cols>
    <col min="1" max="1" width="15.42578125" bestFit="1" customWidth="1"/>
    <col min="2" max="2" width="23.28515625" bestFit="1" customWidth="1"/>
    <col min="3" max="3" width="13.5703125" customWidth="1"/>
    <col min="4" max="6" width="14.140625" bestFit="1" customWidth="1"/>
    <col min="11" max="11" width="10.140625" bestFit="1" customWidth="1"/>
    <col min="17" max="17" width="10.140625" bestFit="1" customWidth="1"/>
    <col min="23" max="23" width="9.85546875" bestFit="1" customWidth="1"/>
    <col min="29" max="29" width="10.140625" bestFit="1" customWidth="1"/>
    <col min="35" max="35" width="10.140625" bestFit="1" customWidth="1"/>
    <col min="41" max="41" width="9.85546875" bestFit="1" customWidth="1"/>
    <col min="47" max="47" width="9.85546875" bestFit="1" customWidth="1"/>
    <col min="53" max="53" width="9.85546875" bestFit="1" customWidth="1"/>
    <col min="59" max="59" width="9.85546875" bestFit="1" customWidth="1"/>
    <col min="65" max="65" width="9.85546875" bestFit="1" customWidth="1"/>
    <col min="71" max="71" width="9.85546875" bestFit="1" customWidth="1"/>
  </cols>
  <sheetData>
    <row r="1" spans="1:72">
      <c r="A1" s="900" t="s">
        <v>2263</v>
      </c>
      <c r="B1" s="901"/>
      <c r="C1" s="902"/>
      <c r="D1" s="12"/>
      <c r="E1" s="12"/>
      <c r="F1" s="12"/>
      <c r="G1" s="12"/>
    </row>
    <row r="3" spans="1:72" s="1" customFormat="1">
      <c r="A3" s="1" t="s">
        <v>11</v>
      </c>
      <c r="G3" s="1" t="s">
        <v>12</v>
      </c>
      <c r="M3" s="1" t="s">
        <v>13</v>
      </c>
      <c r="S3" s="1" t="s">
        <v>14</v>
      </c>
      <c r="Y3" s="1" t="s">
        <v>15</v>
      </c>
      <c r="AE3" s="1" t="s">
        <v>16</v>
      </c>
      <c r="AK3" s="1" t="s">
        <v>17</v>
      </c>
      <c r="AQ3" s="1" t="s">
        <v>18</v>
      </c>
      <c r="AW3" s="1" t="s">
        <v>19</v>
      </c>
      <c r="BC3" s="1" t="s">
        <v>20</v>
      </c>
      <c r="BI3" s="1" t="s">
        <v>21</v>
      </c>
      <c r="BO3" s="1" t="s">
        <v>22</v>
      </c>
    </row>
    <row r="4" spans="1:72">
      <c r="A4" s="355" t="s">
        <v>718</v>
      </c>
      <c r="B4" s="91"/>
      <c r="C4" s="91"/>
      <c r="D4" s="356" t="s">
        <v>719</v>
      </c>
      <c r="E4" s="356" t="s">
        <v>720</v>
      </c>
      <c r="F4" s="356" t="s">
        <v>721</v>
      </c>
      <c r="G4" s="355" t="s">
        <v>718</v>
      </c>
      <c r="H4" s="91"/>
      <c r="I4" s="91"/>
      <c r="J4" s="356" t="s">
        <v>719</v>
      </c>
      <c r="K4" s="356" t="s">
        <v>720</v>
      </c>
      <c r="L4" s="356" t="s">
        <v>721</v>
      </c>
      <c r="M4" s="355" t="s">
        <v>718</v>
      </c>
      <c r="N4" s="91"/>
      <c r="O4" s="91"/>
      <c r="P4" s="356" t="s">
        <v>719</v>
      </c>
      <c r="Q4" s="356" t="s">
        <v>720</v>
      </c>
      <c r="R4" s="356" t="s">
        <v>721</v>
      </c>
      <c r="S4" s="355" t="s">
        <v>718</v>
      </c>
      <c r="T4" s="91"/>
      <c r="U4" s="91"/>
      <c r="V4" s="356" t="s">
        <v>719</v>
      </c>
      <c r="W4" s="356" t="s">
        <v>720</v>
      </c>
      <c r="X4" s="356" t="s">
        <v>721</v>
      </c>
      <c r="Y4" s="355" t="s">
        <v>718</v>
      </c>
      <c r="Z4" s="91"/>
      <c r="AA4" s="91"/>
      <c r="AB4" s="356" t="s">
        <v>719</v>
      </c>
      <c r="AC4" s="356" t="s">
        <v>720</v>
      </c>
      <c r="AD4" s="356" t="s">
        <v>721</v>
      </c>
      <c r="AE4" s="355" t="s">
        <v>718</v>
      </c>
      <c r="AF4" s="91"/>
      <c r="AG4" s="91"/>
      <c r="AH4" s="356" t="s">
        <v>719</v>
      </c>
      <c r="AI4" s="356" t="s">
        <v>720</v>
      </c>
      <c r="AJ4" s="356" t="s">
        <v>721</v>
      </c>
      <c r="AK4" s="355" t="s">
        <v>718</v>
      </c>
      <c r="AL4" s="91"/>
      <c r="AM4" s="91"/>
      <c r="AN4" s="356" t="s">
        <v>719</v>
      </c>
      <c r="AO4" s="356" t="s">
        <v>720</v>
      </c>
      <c r="AP4" s="356" t="s">
        <v>721</v>
      </c>
      <c r="AQ4" s="355" t="s">
        <v>718</v>
      </c>
      <c r="AR4" s="91"/>
      <c r="AS4" s="91"/>
      <c r="AT4" s="356" t="s">
        <v>719</v>
      </c>
      <c r="AU4" s="356" t="s">
        <v>720</v>
      </c>
      <c r="AV4" s="356" t="s">
        <v>721</v>
      </c>
      <c r="AW4" s="355" t="s">
        <v>718</v>
      </c>
      <c r="AX4" s="91"/>
      <c r="AY4" s="91"/>
      <c r="AZ4" s="356" t="s">
        <v>719</v>
      </c>
      <c r="BA4" s="356" t="s">
        <v>720</v>
      </c>
      <c r="BB4" s="356" t="s">
        <v>721</v>
      </c>
      <c r="BC4" s="355" t="s">
        <v>718</v>
      </c>
      <c r="BD4" s="91"/>
      <c r="BE4" s="91"/>
      <c r="BF4" s="356" t="s">
        <v>719</v>
      </c>
      <c r="BG4" s="356" t="s">
        <v>720</v>
      </c>
      <c r="BH4" s="356" t="s">
        <v>721</v>
      </c>
      <c r="BI4" s="355" t="s">
        <v>718</v>
      </c>
      <c r="BJ4" s="91"/>
      <c r="BK4" s="91"/>
      <c r="BL4" s="356" t="s">
        <v>719</v>
      </c>
      <c r="BM4" s="356" t="s">
        <v>720</v>
      </c>
      <c r="BN4" s="356" t="s">
        <v>721</v>
      </c>
      <c r="BO4" s="355" t="s">
        <v>718</v>
      </c>
      <c r="BP4" s="91"/>
      <c r="BQ4" s="91"/>
      <c r="BR4" s="356" t="s">
        <v>719</v>
      </c>
      <c r="BS4" s="356" t="s">
        <v>720</v>
      </c>
      <c r="BT4" s="356" t="s">
        <v>721</v>
      </c>
    </row>
    <row r="5" spans="1:72">
      <c r="A5" s="357" t="s">
        <v>722</v>
      </c>
      <c r="B5" s="357" t="s">
        <v>723</v>
      </c>
      <c r="C5" s="91"/>
      <c r="D5" s="358">
        <v>7</v>
      </c>
      <c r="E5" s="358">
        <v>127052</v>
      </c>
      <c r="F5" s="359">
        <v>186.72</v>
      </c>
      <c r="G5" s="357" t="s">
        <v>722</v>
      </c>
      <c r="H5" s="357" t="s">
        <v>723</v>
      </c>
      <c r="I5" s="91"/>
      <c r="J5" s="358">
        <v>7</v>
      </c>
      <c r="K5" s="358">
        <v>119764</v>
      </c>
      <c r="L5" s="359">
        <v>211.76</v>
      </c>
      <c r="M5" s="357" t="s">
        <v>722</v>
      </c>
      <c r="N5" s="357" t="s">
        <v>723</v>
      </c>
      <c r="O5" s="91"/>
      <c r="P5" s="358">
        <v>7</v>
      </c>
      <c r="Q5" s="358">
        <v>113525</v>
      </c>
      <c r="R5" s="359">
        <v>215.76</v>
      </c>
      <c r="S5" s="357" t="s">
        <v>722</v>
      </c>
      <c r="T5" s="357" t="s">
        <v>723</v>
      </c>
      <c r="U5" s="91"/>
      <c r="V5" s="358">
        <v>7</v>
      </c>
      <c r="W5" s="358">
        <v>120072</v>
      </c>
      <c r="X5" s="359">
        <v>214.4</v>
      </c>
      <c r="Y5" s="357" t="s">
        <v>722</v>
      </c>
      <c r="Z5" s="357" t="s">
        <v>723</v>
      </c>
      <c r="AA5" s="91"/>
      <c r="AB5" s="358">
        <v>7</v>
      </c>
      <c r="AC5" s="358">
        <v>143244</v>
      </c>
      <c r="AD5" s="359">
        <v>233.6</v>
      </c>
      <c r="AE5" s="357" t="s">
        <v>722</v>
      </c>
      <c r="AF5" s="357" t="s">
        <v>723</v>
      </c>
      <c r="AG5" s="91"/>
      <c r="AH5" s="358">
        <v>7</v>
      </c>
      <c r="AI5" s="358">
        <v>160219</v>
      </c>
      <c r="AJ5" s="359">
        <v>247.84</v>
      </c>
      <c r="AK5" s="357" t="s">
        <v>722</v>
      </c>
      <c r="AL5" s="357" t="s">
        <v>723</v>
      </c>
      <c r="AM5" s="91"/>
      <c r="AN5" s="358">
        <v>7</v>
      </c>
      <c r="AO5" s="358">
        <v>136073</v>
      </c>
      <c r="AP5" s="359">
        <v>238.24</v>
      </c>
      <c r="AQ5" s="357" t="s">
        <v>722</v>
      </c>
      <c r="AR5" s="357" t="s">
        <v>723</v>
      </c>
      <c r="AS5" s="91"/>
      <c r="AT5" s="358">
        <v>7</v>
      </c>
      <c r="AU5" s="358">
        <v>147176</v>
      </c>
      <c r="AV5" s="359">
        <v>241.68</v>
      </c>
      <c r="AW5" s="357" t="s">
        <v>722</v>
      </c>
      <c r="AX5" s="357" t="s">
        <v>723</v>
      </c>
      <c r="AY5" s="91"/>
      <c r="AZ5" s="358">
        <v>7</v>
      </c>
      <c r="BA5" s="358">
        <v>151558</v>
      </c>
      <c r="BB5" s="359">
        <v>234.64</v>
      </c>
      <c r="BC5" s="357" t="s">
        <v>722</v>
      </c>
      <c r="BD5" s="357" t="s">
        <v>723</v>
      </c>
      <c r="BE5" s="91"/>
      <c r="BF5" s="358">
        <v>7</v>
      </c>
      <c r="BG5" s="358">
        <v>136355</v>
      </c>
      <c r="BH5" s="359">
        <v>233.68</v>
      </c>
      <c r="BI5" s="357" t="s">
        <v>722</v>
      </c>
      <c r="BJ5" s="357" t="s">
        <v>723</v>
      </c>
      <c r="BK5" s="91"/>
      <c r="BL5" s="358">
        <v>7</v>
      </c>
      <c r="BM5" s="358">
        <v>144102</v>
      </c>
      <c r="BN5" s="359">
        <v>238.4</v>
      </c>
      <c r="BO5" s="357" t="s">
        <v>722</v>
      </c>
      <c r="BP5" s="357" t="s">
        <v>723</v>
      </c>
      <c r="BQ5" s="91"/>
      <c r="BR5" s="358">
        <v>7</v>
      </c>
      <c r="BS5" s="358">
        <v>96208</v>
      </c>
      <c r="BT5" s="359">
        <v>228.24</v>
      </c>
    </row>
    <row r="6" spans="1:72">
      <c r="A6" s="357" t="s">
        <v>724</v>
      </c>
      <c r="B6" s="357" t="s">
        <v>725</v>
      </c>
      <c r="C6" s="91"/>
      <c r="D6" s="358">
        <v>6</v>
      </c>
      <c r="E6" s="358">
        <v>405496</v>
      </c>
      <c r="F6" s="359">
        <v>1433.92</v>
      </c>
      <c r="G6" s="357" t="s">
        <v>724</v>
      </c>
      <c r="H6" s="357" t="s">
        <v>725</v>
      </c>
      <c r="I6" s="91"/>
      <c r="J6" s="358">
        <v>6</v>
      </c>
      <c r="K6" s="358">
        <v>673440</v>
      </c>
      <c r="L6" s="359">
        <v>1657.12</v>
      </c>
      <c r="M6" s="357" t="s">
        <v>724</v>
      </c>
      <c r="N6" s="357" t="s">
        <v>725</v>
      </c>
      <c r="O6" s="91"/>
      <c r="P6" s="358">
        <v>6</v>
      </c>
      <c r="Q6" s="358">
        <v>577760</v>
      </c>
      <c r="R6" s="359">
        <v>1841.44</v>
      </c>
      <c r="S6" s="357" t="s">
        <v>724</v>
      </c>
      <c r="T6" s="357" t="s">
        <v>725</v>
      </c>
      <c r="U6" s="91"/>
      <c r="V6" s="358">
        <v>6</v>
      </c>
      <c r="W6" s="358">
        <v>789344</v>
      </c>
      <c r="X6" s="359">
        <v>2272.48</v>
      </c>
      <c r="Y6" s="357" t="s">
        <v>724</v>
      </c>
      <c r="Z6" s="357" t="s">
        <v>725</v>
      </c>
      <c r="AA6" s="91"/>
      <c r="AB6" s="358">
        <v>6</v>
      </c>
      <c r="AC6" s="358">
        <v>929376</v>
      </c>
      <c r="AD6" s="359">
        <v>2197.12</v>
      </c>
      <c r="AE6" s="357" t="s">
        <v>724</v>
      </c>
      <c r="AF6" s="357" t="s">
        <v>725</v>
      </c>
      <c r="AG6" s="91"/>
      <c r="AH6" s="358">
        <v>6</v>
      </c>
      <c r="AI6" s="358">
        <v>930256</v>
      </c>
      <c r="AJ6" s="359">
        <v>2234.3200000000002</v>
      </c>
      <c r="AK6" s="357" t="s">
        <v>724</v>
      </c>
      <c r="AL6" s="357" t="s">
        <v>725</v>
      </c>
      <c r="AM6" s="91"/>
      <c r="AN6" s="358">
        <v>6</v>
      </c>
      <c r="AO6" s="358">
        <v>804024</v>
      </c>
      <c r="AP6" s="359">
        <v>1986.4</v>
      </c>
      <c r="AQ6" s="357" t="s">
        <v>724</v>
      </c>
      <c r="AR6" s="357" t="s">
        <v>725</v>
      </c>
      <c r="AS6" s="91"/>
      <c r="AT6" s="358">
        <v>6</v>
      </c>
      <c r="AU6" s="358">
        <v>916080</v>
      </c>
      <c r="AV6" s="359">
        <v>2035.44</v>
      </c>
      <c r="AW6" s="357" t="s">
        <v>724</v>
      </c>
      <c r="AX6" s="357" t="s">
        <v>725</v>
      </c>
      <c r="AY6" s="91"/>
      <c r="AZ6" s="358">
        <v>6</v>
      </c>
      <c r="BA6" s="358">
        <v>1102464</v>
      </c>
      <c r="BB6" s="359">
        <v>2321.6</v>
      </c>
      <c r="BC6" s="357" t="s">
        <v>724</v>
      </c>
      <c r="BD6" s="357" t="s">
        <v>725</v>
      </c>
      <c r="BE6" s="91"/>
      <c r="BF6" s="358">
        <v>6</v>
      </c>
      <c r="BG6" s="358">
        <v>904824</v>
      </c>
      <c r="BH6" s="359">
        <v>2139.6799999999998</v>
      </c>
      <c r="BI6" s="357" t="s">
        <v>724</v>
      </c>
      <c r="BJ6" s="357" t="s">
        <v>725</v>
      </c>
      <c r="BK6" s="91"/>
      <c r="BL6" s="358">
        <v>6</v>
      </c>
      <c r="BM6" s="358">
        <v>947624</v>
      </c>
      <c r="BN6" s="359">
        <v>1995.52</v>
      </c>
      <c r="BO6" s="357" t="s">
        <v>724</v>
      </c>
      <c r="BP6" s="357" t="s">
        <v>725</v>
      </c>
      <c r="BQ6" s="91"/>
      <c r="BR6" s="358">
        <v>6</v>
      </c>
      <c r="BS6" s="358">
        <v>477712</v>
      </c>
      <c r="BT6" s="359">
        <v>1909.68</v>
      </c>
    </row>
    <row r="7" spans="1:72">
      <c r="A7" s="357" t="s">
        <v>726</v>
      </c>
      <c r="B7" s="357" t="s">
        <v>727</v>
      </c>
      <c r="C7" s="91"/>
      <c r="D7" s="358">
        <v>11</v>
      </c>
      <c r="E7" s="358">
        <v>66955</v>
      </c>
      <c r="F7" s="359">
        <v>52.94</v>
      </c>
      <c r="G7" s="357" t="s">
        <v>726</v>
      </c>
      <c r="H7" s="357" t="s">
        <v>727</v>
      </c>
      <c r="I7" s="91"/>
      <c r="J7" s="358">
        <v>11</v>
      </c>
      <c r="K7" s="358">
        <v>71460</v>
      </c>
      <c r="L7" s="359">
        <v>75.31</v>
      </c>
      <c r="M7" s="357" t="s">
        <v>726</v>
      </c>
      <c r="N7" s="357" t="s">
        <v>727</v>
      </c>
      <c r="O7" s="91"/>
      <c r="P7" s="358">
        <v>11</v>
      </c>
      <c r="Q7" s="358">
        <v>60469</v>
      </c>
      <c r="R7" s="359">
        <v>75.650000000000006</v>
      </c>
      <c r="S7" s="357" t="s">
        <v>726</v>
      </c>
      <c r="T7" s="357" t="s">
        <v>727</v>
      </c>
      <c r="U7" s="91"/>
      <c r="V7" s="358">
        <v>11</v>
      </c>
      <c r="W7" s="358">
        <v>55559</v>
      </c>
      <c r="X7" s="359">
        <v>70.900000000000006</v>
      </c>
      <c r="Y7" s="357" t="s">
        <v>726</v>
      </c>
      <c r="Z7" s="357" t="s">
        <v>727</v>
      </c>
      <c r="AA7" s="91"/>
      <c r="AB7" s="358">
        <v>11</v>
      </c>
      <c r="AC7" s="358">
        <v>52233</v>
      </c>
      <c r="AD7" s="359">
        <v>67.64</v>
      </c>
      <c r="AE7" s="357" t="s">
        <v>726</v>
      </c>
      <c r="AF7" s="357" t="s">
        <v>727</v>
      </c>
      <c r="AG7" s="91"/>
      <c r="AH7" s="358">
        <v>11</v>
      </c>
      <c r="AI7" s="358">
        <v>56085</v>
      </c>
      <c r="AJ7" s="359">
        <v>68.23</v>
      </c>
      <c r="AK7" s="357" t="s">
        <v>726</v>
      </c>
      <c r="AL7" s="357" t="s">
        <v>727</v>
      </c>
      <c r="AM7" s="91"/>
      <c r="AN7" s="358">
        <v>12</v>
      </c>
      <c r="AO7" s="358">
        <v>41500</v>
      </c>
      <c r="AP7" s="359">
        <v>68.12</v>
      </c>
      <c r="AQ7" s="357" t="s">
        <v>726</v>
      </c>
      <c r="AR7" s="357" t="s">
        <v>727</v>
      </c>
      <c r="AS7" s="91"/>
      <c r="AT7" s="358">
        <v>12</v>
      </c>
      <c r="AU7" s="358">
        <v>50198</v>
      </c>
      <c r="AV7" s="359">
        <v>70.8</v>
      </c>
      <c r="AW7" s="357" t="s">
        <v>726</v>
      </c>
      <c r="AX7" s="357" t="s">
        <v>727</v>
      </c>
      <c r="AY7" s="91"/>
      <c r="AZ7" s="358">
        <v>14</v>
      </c>
      <c r="BA7" s="358">
        <v>59672</v>
      </c>
      <c r="BB7" s="359">
        <v>66.02</v>
      </c>
      <c r="BC7" s="357" t="s">
        <v>726</v>
      </c>
      <c r="BD7" s="357" t="s">
        <v>727</v>
      </c>
      <c r="BE7" s="91"/>
      <c r="BF7" s="358">
        <v>15</v>
      </c>
      <c r="BG7" s="358">
        <v>84624</v>
      </c>
      <c r="BH7" s="359">
        <v>127.05</v>
      </c>
      <c r="BI7" s="357" t="s">
        <v>726</v>
      </c>
      <c r="BJ7" s="357" t="s">
        <v>727</v>
      </c>
      <c r="BK7" s="91"/>
      <c r="BL7" s="358">
        <v>16</v>
      </c>
      <c r="BM7" s="358">
        <v>111359</v>
      </c>
      <c r="BN7" s="359">
        <v>128.84</v>
      </c>
      <c r="BO7" s="357" t="s">
        <v>726</v>
      </c>
      <c r="BP7" s="357" t="s">
        <v>727</v>
      </c>
      <c r="BQ7" s="91"/>
      <c r="BR7" s="358">
        <v>17</v>
      </c>
      <c r="BS7" s="358">
        <v>107562</v>
      </c>
      <c r="BT7" s="359">
        <v>158.03</v>
      </c>
    </row>
    <row r="8" spans="1:72">
      <c r="A8" s="357" t="s">
        <v>728</v>
      </c>
      <c r="B8" s="357" t="s">
        <v>729</v>
      </c>
      <c r="C8" s="91"/>
      <c r="D8" s="358">
        <v>42</v>
      </c>
      <c r="E8" s="358">
        <v>947867</v>
      </c>
      <c r="F8" s="359">
        <v>3045.19</v>
      </c>
      <c r="G8" s="357" t="s">
        <v>728</v>
      </c>
      <c r="H8" s="357" t="s">
        <v>729</v>
      </c>
      <c r="I8" s="91"/>
      <c r="J8" s="358">
        <v>42</v>
      </c>
      <c r="K8" s="358">
        <v>1666005</v>
      </c>
      <c r="L8" s="359">
        <v>3357.01</v>
      </c>
      <c r="M8" s="357" t="s">
        <v>728</v>
      </c>
      <c r="N8" s="357" t="s">
        <v>729</v>
      </c>
      <c r="O8" s="91"/>
      <c r="P8" s="358">
        <v>42</v>
      </c>
      <c r="Q8" s="358">
        <v>1303749</v>
      </c>
      <c r="R8" s="359">
        <v>3422.69</v>
      </c>
      <c r="S8" s="357" t="s">
        <v>728</v>
      </c>
      <c r="T8" s="357" t="s">
        <v>729</v>
      </c>
      <c r="U8" s="91"/>
      <c r="V8" s="358">
        <v>42</v>
      </c>
      <c r="W8" s="358">
        <v>1578316</v>
      </c>
      <c r="X8" s="359">
        <v>3453.08</v>
      </c>
      <c r="Y8" s="357" t="s">
        <v>728</v>
      </c>
      <c r="Z8" s="357" t="s">
        <v>729</v>
      </c>
      <c r="AA8" s="91"/>
      <c r="AB8" s="358">
        <v>42</v>
      </c>
      <c r="AC8" s="358">
        <v>1529826</v>
      </c>
      <c r="AD8" s="359">
        <v>3405.07</v>
      </c>
      <c r="AE8" s="357" t="s">
        <v>728</v>
      </c>
      <c r="AF8" s="357" t="s">
        <v>729</v>
      </c>
      <c r="AG8" s="91"/>
      <c r="AH8" s="358">
        <v>42</v>
      </c>
      <c r="AI8" s="358">
        <v>955596</v>
      </c>
      <c r="AJ8" s="359">
        <v>1852.72</v>
      </c>
      <c r="AK8" s="357" t="s">
        <v>728</v>
      </c>
      <c r="AL8" s="357" t="s">
        <v>729</v>
      </c>
      <c r="AM8" s="91"/>
      <c r="AN8" s="358">
        <v>42</v>
      </c>
      <c r="AO8" s="358">
        <v>858772</v>
      </c>
      <c r="AP8" s="359">
        <v>1938.1</v>
      </c>
      <c r="AQ8" s="357" t="s">
        <v>728</v>
      </c>
      <c r="AR8" s="357" t="s">
        <v>729</v>
      </c>
      <c r="AS8" s="91"/>
      <c r="AT8" s="358">
        <v>42</v>
      </c>
      <c r="AU8" s="358">
        <v>944802</v>
      </c>
      <c r="AV8" s="359">
        <v>2322.9499999999998</v>
      </c>
      <c r="AW8" s="357" t="s">
        <v>728</v>
      </c>
      <c r="AX8" s="357" t="s">
        <v>729</v>
      </c>
      <c r="AY8" s="91"/>
      <c r="AZ8" s="358">
        <v>42</v>
      </c>
      <c r="BA8" s="358">
        <v>1836586</v>
      </c>
      <c r="BB8" s="359">
        <v>3712.09</v>
      </c>
      <c r="BC8" s="357" t="s">
        <v>728</v>
      </c>
      <c r="BD8" s="357" t="s">
        <v>729</v>
      </c>
      <c r="BE8" s="91"/>
      <c r="BF8" s="358">
        <v>42</v>
      </c>
      <c r="BG8" s="358">
        <v>1569232</v>
      </c>
      <c r="BH8" s="359">
        <v>3611.73</v>
      </c>
      <c r="BI8" s="357" t="s">
        <v>728</v>
      </c>
      <c r="BJ8" s="357" t="s">
        <v>729</v>
      </c>
      <c r="BK8" s="91"/>
      <c r="BL8" s="358">
        <v>42</v>
      </c>
      <c r="BM8" s="358">
        <v>1776283</v>
      </c>
      <c r="BN8" s="359">
        <v>3566.33</v>
      </c>
      <c r="BO8" s="357" t="s">
        <v>728</v>
      </c>
      <c r="BP8" s="357" t="s">
        <v>729</v>
      </c>
      <c r="BQ8" s="91"/>
      <c r="BR8" s="358">
        <v>42</v>
      </c>
      <c r="BS8" s="358">
        <v>1145953</v>
      </c>
      <c r="BT8" s="359">
        <v>3487.73</v>
      </c>
    </row>
    <row r="9" spans="1:72">
      <c r="A9" s="357" t="s">
        <v>730</v>
      </c>
      <c r="B9" s="357" t="s">
        <v>731</v>
      </c>
      <c r="C9" s="91"/>
      <c r="D9" s="358">
        <v>18</v>
      </c>
      <c r="E9" s="358">
        <v>1150136</v>
      </c>
      <c r="F9" s="359">
        <v>2284.9899999999998</v>
      </c>
      <c r="G9" s="357" t="s">
        <v>730</v>
      </c>
      <c r="H9" s="357" t="s">
        <v>731</v>
      </c>
      <c r="I9" s="91"/>
      <c r="J9" s="358">
        <v>18</v>
      </c>
      <c r="K9" s="358">
        <v>921512</v>
      </c>
      <c r="L9" s="359">
        <v>2798.13</v>
      </c>
      <c r="M9" s="357" t="s">
        <v>730</v>
      </c>
      <c r="N9" s="357" t="s">
        <v>731</v>
      </c>
      <c r="O9" s="91"/>
      <c r="P9" s="358">
        <v>18</v>
      </c>
      <c r="Q9" s="358">
        <v>884648</v>
      </c>
      <c r="R9" s="359">
        <v>2787.24</v>
      </c>
      <c r="S9" s="357" t="s">
        <v>730</v>
      </c>
      <c r="T9" s="357" t="s">
        <v>731</v>
      </c>
      <c r="U9" s="91"/>
      <c r="V9" s="358">
        <v>18</v>
      </c>
      <c r="W9" s="358">
        <v>975736</v>
      </c>
      <c r="X9" s="359">
        <v>3390.58</v>
      </c>
      <c r="Y9" s="357" t="s">
        <v>730</v>
      </c>
      <c r="Z9" s="357" t="s">
        <v>731</v>
      </c>
      <c r="AA9" s="91"/>
      <c r="AB9" s="358">
        <v>18</v>
      </c>
      <c r="AC9" s="358">
        <v>1174360</v>
      </c>
      <c r="AD9" s="359">
        <v>4148.9399999999996</v>
      </c>
      <c r="AE9" s="357" t="s">
        <v>730</v>
      </c>
      <c r="AF9" s="357" t="s">
        <v>731</v>
      </c>
      <c r="AG9" s="91"/>
      <c r="AH9" s="358">
        <v>18</v>
      </c>
      <c r="AI9" s="358">
        <v>1171552</v>
      </c>
      <c r="AJ9" s="359">
        <v>3360.47</v>
      </c>
      <c r="AK9" s="357" t="s">
        <v>730</v>
      </c>
      <c r="AL9" s="357" t="s">
        <v>731</v>
      </c>
      <c r="AM9" s="91"/>
      <c r="AN9" s="358">
        <v>18</v>
      </c>
      <c r="AO9" s="358">
        <v>1012040</v>
      </c>
      <c r="AP9" s="359">
        <v>3275.02</v>
      </c>
      <c r="AQ9" s="357" t="s">
        <v>730</v>
      </c>
      <c r="AR9" s="357" t="s">
        <v>731</v>
      </c>
      <c r="AS9" s="91"/>
      <c r="AT9" s="358">
        <v>18</v>
      </c>
      <c r="AU9" s="358">
        <v>1165808</v>
      </c>
      <c r="AV9" s="359">
        <v>4007.23</v>
      </c>
      <c r="AW9" s="357" t="s">
        <v>730</v>
      </c>
      <c r="AX9" s="357" t="s">
        <v>731</v>
      </c>
      <c r="AY9" s="91"/>
      <c r="AZ9" s="358">
        <v>19</v>
      </c>
      <c r="BA9" s="358">
        <v>1420840</v>
      </c>
      <c r="BB9" s="359">
        <v>5050.45</v>
      </c>
      <c r="BC9" s="357" t="s">
        <v>730</v>
      </c>
      <c r="BD9" s="357" t="s">
        <v>731</v>
      </c>
      <c r="BE9" s="91"/>
      <c r="BF9" s="358">
        <v>19</v>
      </c>
      <c r="BG9" s="358">
        <v>1130320</v>
      </c>
      <c r="BH9" s="359">
        <v>5047.93</v>
      </c>
      <c r="BI9" s="357" t="s">
        <v>730</v>
      </c>
      <c r="BJ9" s="357" t="s">
        <v>731</v>
      </c>
      <c r="BK9" s="91"/>
      <c r="BL9" s="358">
        <v>19</v>
      </c>
      <c r="BM9" s="358">
        <v>1420480</v>
      </c>
      <c r="BN9" s="359">
        <v>5031.33</v>
      </c>
      <c r="BO9" s="357" t="s">
        <v>730</v>
      </c>
      <c r="BP9" s="357" t="s">
        <v>731</v>
      </c>
      <c r="BQ9" s="91"/>
      <c r="BR9" s="358">
        <v>19</v>
      </c>
      <c r="BS9" s="358">
        <v>893056</v>
      </c>
      <c r="BT9" s="359">
        <v>4419.76</v>
      </c>
    </row>
    <row r="10" spans="1:72">
      <c r="A10" s="357" t="s">
        <v>732</v>
      </c>
      <c r="B10" s="357" t="s">
        <v>733</v>
      </c>
      <c r="C10" s="91"/>
      <c r="D10" s="358">
        <v>16</v>
      </c>
      <c r="E10" s="358">
        <v>774303</v>
      </c>
      <c r="F10" s="359">
        <v>1779.28</v>
      </c>
      <c r="G10" s="357" t="s">
        <v>732</v>
      </c>
      <c r="H10" s="357" t="s">
        <v>733</v>
      </c>
      <c r="I10" s="91"/>
      <c r="J10" s="358">
        <v>16</v>
      </c>
      <c r="K10" s="358">
        <v>938221</v>
      </c>
      <c r="L10" s="359">
        <v>2329.91</v>
      </c>
      <c r="M10" s="357" t="s">
        <v>732</v>
      </c>
      <c r="N10" s="357" t="s">
        <v>733</v>
      </c>
      <c r="O10" s="91"/>
      <c r="P10" s="358">
        <v>16</v>
      </c>
      <c r="Q10" s="358">
        <v>900196</v>
      </c>
      <c r="R10" s="359">
        <v>2114.5100000000002</v>
      </c>
      <c r="S10" s="357" t="s">
        <v>732</v>
      </c>
      <c r="T10" s="357" t="s">
        <v>733</v>
      </c>
      <c r="U10" s="91"/>
      <c r="V10" s="358">
        <v>16</v>
      </c>
      <c r="W10" s="358">
        <v>1124269</v>
      </c>
      <c r="X10" s="359">
        <v>2590.04</v>
      </c>
      <c r="Y10" s="357" t="s">
        <v>732</v>
      </c>
      <c r="Z10" s="357" t="s">
        <v>733</v>
      </c>
      <c r="AA10" s="91"/>
      <c r="AB10" s="358">
        <v>16</v>
      </c>
      <c r="AC10" s="358">
        <v>1207509</v>
      </c>
      <c r="AD10" s="359">
        <v>2933.09</v>
      </c>
      <c r="AE10" s="357" t="s">
        <v>732</v>
      </c>
      <c r="AF10" s="357" t="s">
        <v>733</v>
      </c>
      <c r="AG10" s="91"/>
      <c r="AH10" s="358">
        <v>16</v>
      </c>
      <c r="AI10" s="358">
        <v>1345611</v>
      </c>
      <c r="AJ10" s="359">
        <v>2907.98</v>
      </c>
      <c r="AK10" s="357" t="s">
        <v>732</v>
      </c>
      <c r="AL10" s="357" t="s">
        <v>733</v>
      </c>
      <c r="AM10" s="91"/>
      <c r="AN10" s="358">
        <v>16</v>
      </c>
      <c r="AO10" s="358">
        <v>1125480</v>
      </c>
      <c r="AP10" s="359">
        <v>2764.5</v>
      </c>
      <c r="AQ10" s="357" t="s">
        <v>732</v>
      </c>
      <c r="AR10" s="357" t="s">
        <v>733</v>
      </c>
      <c r="AS10" s="91"/>
      <c r="AT10" s="358">
        <v>20</v>
      </c>
      <c r="AU10" s="358">
        <v>1286312</v>
      </c>
      <c r="AV10" s="359">
        <v>3117.67</v>
      </c>
      <c r="AW10" s="357" t="s">
        <v>732</v>
      </c>
      <c r="AX10" s="357" t="s">
        <v>733</v>
      </c>
      <c r="AY10" s="91"/>
      <c r="AZ10" s="358">
        <v>20</v>
      </c>
      <c r="BA10" s="358">
        <v>1348185</v>
      </c>
      <c r="BB10" s="359">
        <v>3219.18</v>
      </c>
      <c r="BC10" s="357" t="s">
        <v>732</v>
      </c>
      <c r="BD10" s="357" t="s">
        <v>733</v>
      </c>
      <c r="BE10" s="91"/>
      <c r="BF10" s="358">
        <v>20</v>
      </c>
      <c r="BG10" s="358">
        <v>1232455</v>
      </c>
      <c r="BH10" s="359">
        <v>3327.03</v>
      </c>
      <c r="BI10" s="357" t="s">
        <v>732</v>
      </c>
      <c r="BJ10" s="357" t="s">
        <v>733</v>
      </c>
      <c r="BK10" s="91"/>
      <c r="BL10" s="358">
        <v>20</v>
      </c>
      <c r="BM10" s="358">
        <v>1299954</v>
      </c>
      <c r="BN10" s="359">
        <v>3303.14</v>
      </c>
      <c r="BO10" s="357" t="s">
        <v>732</v>
      </c>
      <c r="BP10" s="357" t="s">
        <v>733</v>
      </c>
      <c r="BQ10" s="91"/>
      <c r="BR10" s="358">
        <v>20</v>
      </c>
      <c r="BS10" s="358">
        <v>805276</v>
      </c>
      <c r="BT10" s="359">
        <v>2866.58</v>
      </c>
    </row>
    <row r="11" spans="1:72">
      <c r="A11" s="360" t="s">
        <v>734</v>
      </c>
      <c r="B11" s="91"/>
      <c r="C11" s="91"/>
      <c r="D11" s="358">
        <v>100</v>
      </c>
      <c r="E11" s="358">
        <v>3471809</v>
      </c>
      <c r="F11" s="359">
        <v>8783.0400000000009</v>
      </c>
      <c r="G11" s="360" t="s">
        <v>734</v>
      </c>
      <c r="H11" s="91"/>
      <c r="I11" s="91"/>
      <c r="J11" s="358">
        <v>100</v>
      </c>
      <c r="K11" s="358">
        <v>4390402</v>
      </c>
      <c r="L11" s="359">
        <v>10429.24</v>
      </c>
      <c r="M11" s="360" t="s">
        <v>734</v>
      </c>
      <c r="N11" s="91"/>
      <c r="O11" s="91"/>
      <c r="P11" s="358">
        <v>100</v>
      </c>
      <c r="Q11" s="358">
        <v>3840347</v>
      </c>
      <c r="R11" s="359">
        <v>10457.290000000001</v>
      </c>
      <c r="S11" s="360" t="s">
        <v>734</v>
      </c>
      <c r="T11" s="91"/>
      <c r="U11" s="91"/>
      <c r="V11" s="358">
        <v>100</v>
      </c>
      <c r="W11" s="358">
        <v>4643296</v>
      </c>
      <c r="X11" s="359">
        <v>11991.48</v>
      </c>
      <c r="Y11" s="360" t="s">
        <v>734</v>
      </c>
      <c r="Z11" s="91"/>
      <c r="AA11" s="91"/>
      <c r="AB11" s="358">
        <v>100</v>
      </c>
      <c r="AC11" s="358">
        <v>5036548</v>
      </c>
      <c r="AD11" s="359">
        <v>12985.46</v>
      </c>
      <c r="AE11" s="360" t="s">
        <v>734</v>
      </c>
      <c r="AF11" s="91"/>
      <c r="AG11" s="91"/>
      <c r="AH11" s="358">
        <v>100</v>
      </c>
      <c r="AI11" s="358">
        <v>4619319</v>
      </c>
      <c r="AJ11" s="359">
        <v>10671.56</v>
      </c>
      <c r="AK11" s="360" t="s">
        <v>734</v>
      </c>
      <c r="AL11" s="91"/>
      <c r="AM11" s="91"/>
      <c r="AN11" s="358">
        <v>101</v>
      </c>
      <c r="AO11" s="358">
        <v>3977889</v>
      </c>
      <c r="AP11" s="359">
        <v>10270.379999999999</v>
      </c>
      <c r="AQ11" s="360" t="s">
        <v>734</v>
      </c>
      <c r="AR11" s="91"/>
      <c r="AS11" s="91"/>
      <c r="AT11" s="358">
        <v>105</v>
      </c>
      <c r="AU11" s="358">
        <v>4510376</v>
      </c>
      <c r="AV11" s="359">
        <v>11795.77</v>
      </c>
      <c r="AW11" s="360" t="s">
        <v>734</v>
      </c>
      <c r="AX11" s="91"/>
      <c r="AY11" s="91"/>
      <c r="AZ11" s="358">
        <v>108</v>
      </c>
      <c r="BA11" s="358">
        <v>5919305</v>
      </c>
      <c r="BB11" s="359">
        <v>14603.98</v>
      </c>
      <c r="BC11" s="360" t="s">
        <v>734</v>
      </c>
      <c r="BD11" s="91"/>
      <c r="BE11" s="91"/>
      <c r="BF11" s="358">
        <v>109</v>
      </c>
      <c r="BG11" s="358">
        <v>5057810</v>
      </c>
      <c r="BH11" s="359">
        <v>14487.1</v>
      </c>
      <c r="BI11" s="360" t="s">
        <v>734</v>
      </c>
      <c r="BJ11" s="91"/>
      <c r="BK11" s="91"/>
      <c r="BL11" s="358">
        <v>110</v>
      </c>
      <c r="BM11" s="358">
        <v>5699802</v>
      </c>
      <c r="BN11" s="359">
        <v>14263.56</v>
      </c>
      <c r="BO11" s="360" t="s">
        <v>734</v>
      </c>
      <c r="BP11" s="91"/>
      <c r="BQ11" s="91"/>
      <c r="BR11" s="358">
        <v>111</v>
      </c>
      <c r="BS11" s="358">
        <v>3525767</v>
      </c>
      <c r="BT11" s="359">
        <v>13070.02</v>
      </c>
    </row>
    <row r="12" spans="1:72">
      <c r="A12" s="91"/>
      <c r="B12" s="91"/>
      <c r="C12" s="91"/>
      <c r="D12" s="9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row>
    <row r="13" spans="1:72">
      <c r="A13" s="357" t="s">
        <v>735</v>
      </c>
      <c r="B13" s="357" t="s">
        <v>736</v>
      </c>
      <c r="C13" s="91"/>
      <c r="D13" s="358">
        <v>223</v>
      </c>
      <c r="E13" s="358">
        <v>10572011</v>
      </c>
      <c r="F13" s="359">
        <v>23584.83</v>
      </c>
      <c r="G13" s="357" t="s">
        <v>735</v>
      </c>
      <c r="H13" s="357" t="s">
        <v>736</v>
      </c>
      <c r="I13" s="91"/>
      <c r="J13" s="358">
        <v>224</v>
      </c>
      <c r="K13" s="358">
        <v>11319335</v>
      </c>
      <c r="L13" s="359">
        <v>24235.24</v>
      </c>
      <c r="M13" s="357" t="s">
        <v>735</v>
      </c>
      <c r="N13" s="357" t="s">
        <v>736</v>
      </c>
      <c r="O13" s="91"/>
      <c r="P13" s="358">
        <v>224</v>
      </c>
      <c r="Q13" s="358">
        <v>9761460</v>
      </c>
      <c r="R13" s="359">
        <v>24365.75</v>
      </c>
      <c r="S13" s="357" t="s">
        <v>735</v>
      </c>
      <c r="T13" s="357" t="s">
        <v>736</v>
      </c>
      <c r="U13" s="91"/>
      <c r="V13" s="358">
        <v>225</v>
      </c>
      <c r="W13" s="358">
        <v>11081056</v>
      </c>
      <c r="X13" s="359">
        <v>27461.919999999998</v>
      </c>
      <c r="Y13" s="357" t="s">
        <v>735</v>
      </c>
      <c r="Z13" s="357" t="s">
        <v>736</v>
      </c>
      <c r="AA13" s="91"/>
      <c r="AB13" s="358">
        <v>224</v>
      </c>
      <c r="AC13" s="358">
        <v>11688701</v>
      </c>
      <c r="AD13" s="359">
        <v>27637.69</v>
      </c>
      <c r="AE13" s="357" t="s">
        <v>735</v>
      </c>
      <c r="AF13" s="357" t="s">
        <v>736</v>
      </c>
      <c r="AG13" s="91"/>
      <c r="AH13" s="358">
        <v>221</v>
      </c>
      <c r="AI13" s="358">
        <v>13324042</v>
      </c>
      <c r="AJ13" s="359">
        <v>27939.73</v>
      </c>
      <c r="AK13" s="357" t="s">
        <v>735</v>
      </c>
      <c r="AL13" s="357" t="s">
        <v>736</v>
      </c>
      <c r="AM13" s="91"/>
      <c r="AN13" s="358">
        <v>222</v>
      </c>
      <c r="AO13" s="358">
        <v>11926324</v>
      </c>
      <c r="AP13" s="359">
        <v>29138.01</v>
      </c>
      <c r="AQ13" s="357" t="s">
        <v>735</v>
      </c>
      <c r="AR13" s="357" t="s">
        <v>736</v>
      </c>
      <c r="AS13" s="91"/>
      <c r="AT13" s="358">
        <v>216</v>
      </c>
      <c r="AU13" s="358">
        <v>13219452</v>
      </c>
      <c r="AV13" s="359">
        <v>30408.560000000001</v>
      </c>
      <c r="AW13" s="357" t="s">
        <v>735</v>
      </c>
      <c r="AX13" s="357" t="s">
        <v>736</v>
      </c>
      <c r="AY13" s="91"/>
      <c r="AZ13" s="358">
        <v>215</v>
      </c>
      <c r="BA13" s="358">
        <v>12486128</v>
      </c>
      <c r="BB13" s="359">
        <v>27648.85</v>
      </c>
      <c r="BC13" s="357" t="s">
        <v>735</v>
      </c>
      <c r="BD13" s="357" t="s">
        <v>736</v>
      </c>
      <c r="BE13" s="91"/>
      <c r="BF13" s="358">
        <v>216</v>
      </c>
      <c r="BG13" s="358">
        <v>11602600</v>
      </c>
      <c r="BH13" s="359">
        <v>27356.53</v>
      </c>
      <c r="BI13" s="357" t="s">
        <v>735</v>
      </c>
      <c r="BJ13" s="357" t="s">
        <v>736</v>
      </c>
      <c r="BK13" s="91"/>
      <c r="BL13" s="358">
        <v>218</v>
      </c>
      <c r="BM13" s="358">
        <v>11674755</v>
      </c>
      <c r="BN13" s="359">
        <v>26835.05</v>
      </c>
      <c r="BO13" s="357" t="s">
        <v>735</v>
      </c>
      <c r="BP13" s="357" t="s">
        <v>736</v>
      </c>
      <c r="BQ13" s="91"/>
      <c r="BR13" s="358">
        <v>218</v>
      </c>
      <c r="BS13" s="358">
        <v>8892730</v>
      </c>
      <c r="BT13" s="359">
        <v>24974.84</v>
      </c>
    </row>
    <row r="14" spans="1:72">
      <c r="A14" s="357" t="s">
        <v>737</v>
      </c>
      <c r="B14" s="357" t="s">
        <v>738</v>
      </c>
      <c r="C14" s="91"/>
      <c r="D14" s="358">
        <v>3</v>
      </c>
      <c r="E14" s="358">
        <v>1013616</v>
      </c>
      <c r="F14" s="359">
        <v>1975.87</v>
      </c>
      <c r="G14" s="357" t="s">
        <v>737</v>
      </c>
      <c r="H14" s="357" t="s">
        <v>738</v>
      </c>
      <c r="I14" s="91"/>
      <c r="J14" s="358">
        <v>3</v>
      </c>
      <c r="K14" s="358">
        <v>1192848</v>
      </c>
      <c r="L14" s="359">
        <v>1787.23</v>
      </c>
      <c r="M14" s="357" t="s">
        <v>737</v>
      </c>
      <c r="N14" s="357" t="s">
        <v>738</v>
      </c>
      <c r="O14" s="91"/>
      <c r="P14" s="358">
        <v>3</v>
      </c>
      <c r="Q14" s="358">
        <v>944688</v>
      </c>
      <c r="R14" s="359">
        <v>1776.96</v>
      </c>
      <c r="S14" s="357" t="s">
        <v>737</v>
      </c>
      <c r="T14" s="357" t="s">
        <v>738</v>
      </c>
      <c r="U14" s="91"/>
      <c r="V14" s="358">
        <v>3</v>
      </c>
      <c r="W14" s="358">
        <v>902256</v>
      </c>
      <c r="X14" s="359">
        <v>1719.55</v>
      </c>
      <c r="Y14" s="357" t="s">
        <v>737</v>
      </c>
      <c r="Z14" s="357" t="s">
        <v>738</v>
      </c>
      <c r="AA14" s="91"/>
      <c r="AB14" s="358">
        <v>3</v>
      </c>
      <c r="AC14" s="358">
        <v>818880</v>
      </c>
      <c r="AD14" s="359">
        <v>1443.46</v>
      </c>
      <c r="AE14" s="357" t="s">
        <v>737</v>
      </c>
      <c r="AF14" s="357" t="s">
        <v>738</v>
      </c>
      <c r="AG14" s="91"/>
      <c r="AH14" s="358">
        <v>3</v>
      </c>
      <c r="AI14" s="358">
        <v>833184</v>
      </c>
      <c r="AJ14" s="359">
        <v>1216.9000000000001</v>
      </c>
      <c r="AK14" s="357" t="s">
        <v>737</v>
      </c>
      <c r="AL14" s="357" t="s">
        <v>738</v>
      </c>
      <c r="AM14" s="91"/>
      <c r="AN14" s="358">
        <v>3</v>
      </c>
      <c r="AO14" s="358">
        <v>505056</v>
      </c>
      <c r="AP14" s="359">
        <v>1303.2</v>
      </c>
      <c r="AQ14" s="357" t="s">
        <v>737</v>
      </c>
      <c r="AR14" s="357" t="s">
        <v>738</v>
      </c>
      <c r="AS14" s="91"/>
      <c r="AT14" s="358">
        <v>3</v>
      </c>
      <c r="AU14" s="358">
        <v>608976</v>
      </c>
      <c r="AV14" s="359">
        <v>1072.7</v>
      </c>
      <c r="AW14" s="357" t="s">
        <v>737</v>
      </c>
      <c r="AX14" s="357" t="s">
        <v>738</v>
      </c>
      <c r="AY14" s="91"/>
      <c r="AZ14" s="358">
        <v>3</v>
      </c>
      <c r="BA14" s="358">
        <v>544416</v>
      </c>
      <c r="BB14" s="359">
        <v>1024.42</v>
      </c>
      <c r="BC14" s="357" t="s">
        <v>737</v>
      </c>
      <c r="BD14" s="357" t="s">
        <v>738</v>
      </c>
      <c r="BE14" s="91"/>
      <c r="BF14" s="358">
        <v>3</v>
      </c>
      <c r="BG14" s="358">
        <v>545376</v>
      </c>
      <c r="BH14" s="359">
        <v>1406.78</v>
      </c>
      <c r="BI14" s="357" t="s">
        <v>737</v>
      </c>
      <c r="BJ14" s="357" t="s">
        <v>738</v>
      </c>
      <c r="BK14" s="91"/>
      <c r="BL14" s="358">
        <v>3</v>
      </c>
      <c r="BM14" s="358">
        <v>894336</v>
      </c>
      <c r="BN14" s="359">
        <v>1774.92</v>
      </c>
      <c r="BO14" s="357" t="s">
        <v>737</v>
      </c>
      <c r="BP14" s="357" t="s">
        <v>738</v>
      </c>
      <c r="BQ14" s="91"/>
      <c r="BR14" s="358">
        <v>3</v>
      </c>
      <c r="BS14" s="358">
        <v>814128</v>
      </c>
      <c r="BT14" s="359">
        <v>2193.46</v>
      </c>
    </row>
    <row r="15" spans="1:72">
      <c r="A15" s="360" t="s">
        <v>739</v>
      </c>
      <c r="B15" s="91"/>
      <c r="C15" s="91"/>
      <c r="D15" s="358">
        <v>226</v>
      </c>
      <c r="E15" s="358">
        <v>11585627</v>
      </c>
      <c r="F15" s="359">
        <v>25560.7</v>
      </c>
      <c r="G15" s="360" t="s">
        <v>739</v>
      </c>
      <c r="H15" s="91"/>
      <c r="I15" s="91"/>
      <c r="J15" s="358">
        <v>227</v>
      </c>
      <c r="K15" s="358">
        <v>12512183</v>
      </c>
      <c r="L15" s="359">
        <v>26022.47</v>
      </c>
      <c r="M15" s="360" t="s">
        <v>739</v>
      </c>
      <c r="N15" s="91"/>
      <c r="O15" s="91"/>
      <c r="P15" s="358">
        <v>227</v>
      </c>
      <c r="Q15" s="358">
        <v>10706148</v>
      </c>
      <c r="R15" s="359">
        <v>26142.71</v>
      </c>
      <c r="S15" s="360" t="s">
        <v>739</v>
      </c>
      <c r="T15" s="91"/>
      <c r="U15" s="91"/>
      <c r="V15" s="358">
        <v>228</v>
      </c>
      <c r="W15" s="358">
        <v>11983312</v>
      </c>
      <c r="X15" s="359">
        <v>29181.47</v>
      </c>
      <c r="Y15" s="360" t="s">
        <v>739</v>
      </c>
      <c r="Z15" s="91"/>
      <c r="AA15" s="91"/>
      <c r="AB15" s="358">
        <v>227</v>
      </c>
      <c r="AC15" s="358">
        <v>12507581</v>
      </c>
      <c r="AD15" s="359">
        <v>29081.15</v>
      </c>
      <c r="AE15" s="360" t="s">
        <v>739</v>
      </c>
      <c r="AF15" s="91"/>
      <c r="AG15" s="91"/>
      <c r="AH15" s="358">
        <v>224</v>
      </c>
      <c r="AI15" s="358">
        <v>14157226</v>
      </c>
      <c r="AJ15" s="359">
        <v>29156.63</v>
      </c>
      <c r="AK15" s="360" t="s">
        <v>739</v>
      </c>
      <c r="AL15" s="91"/>
      <c r="AM15" s="91"/>
      <c r="AN15" s="358">
        <v>225</v>
      </c>
      <c r="AO15" s="358">
        <v>12431380</v>
      </c>
      <c r="AP15" s="359">
        <v>30441.21</v>
      </c>
      <c r="AQ15" s="360" t="s">
        <v>739</v>
      </c>
      <c r="AR15" s="91"/>
      <c r="AS15" s="91"/>
      <c r="AT15" s="358">
        <v>219</v>
      </c>
      <c r="AU15" s="358">
        <v>13828428</v>
      </c>
      <c r="AV15" s="359">
        <v>31481.26</v>
      </c>
      <c r="AW15" s="360" t="s">
        <v>739</v>
      </c>
      <c r="AX15" s="91"/>
      <c r="AY15" s="91"/>
      <c r="AZ15" s="358">
        <v>218</v>
      </c>
      <c r="BA15" s="358">
        <v>13030544</v>
      </c>
      <c r="BB15" s="359">
        <v>28673.27</v>
      </c>
      <c r="BC15" s="360" t="s">
        <v>739</v>
      </c>
      <c r="BD15" s="91"/>
      <c r="BE15" s="91"/>
      <c r="BF15" s="358">
        <v>219</v>
      </c>
      <c r="BG15" s="358">
        <v>12147976</v>
      </c>
      <c r="BH15" s="359">
        <v>28763.31</v>
      </c>
      <c r="BI15" s="360" t="s">
        <v>739</v>
      </c>
      <c r="BJ15" s="91"/>
      <c r="BK15" s="91"/>
      <c r="BL15" s="358">
        <v>221</v>
      </c>
      <c r="BM15" s="358">
        <v>12569091</v>
      </c>
      <c r="BN15" s="359">
        <v>28609.97</v>
      </c>
      <c r="BO15" s="360" t="s">
        <v>739</v>
      </c>
      <c r="BP15" s="91"/>
      <c r="BQ15" s="91"/>
      <c r="BR15" s="358">
        <v>221</v>
      </c>
      <c r="BS15" s="358">
        <v>9706858</v>
      </c>
      <c r="BT15" s="359">
        <v>27168.3</v>
      </c>
    </row>
    <row r="16" spans="1:72">
      <c r="A16" s="91"/>
      <c r="B16" s="91"/>
      <c r="C16" s="91"/>
      <c r="D16" s="91"/>
      <c r="E16" s="92">
        <f>E11+E15</f>
        <v>15057436</v>
      </c>
      <c r="F16" s="91"/>
      <c r="G16" s="91"/>
      <c r="H16" s="91"/>
      <c r="I16" s="91"/>
      <c r="J16" s="91"/>
      <c r="K16" s="92">
        <f>K11+K15</f>
        <v>16902585</v>
      </c>
      <c r="L16" s="91"/>
      <c r="M16" s="91"/>
      <c r="N16" s="91"/>
      <c r="O16" s="91"/>
      <c r="P16" s="91"/>
      <c r="Q16" s="92">
        <f>Q11+Q15</f>
        <v>14546495</v>
      </c>
      <c r="R16" s="91"/>
      <c r="S16" s="91"/>
      <c r="T16" s="91"/>
      <c r="U16" s="91"/>
      <c r="V16" s="91"/>
      <c r="W16" s="92">
        <f>W11+W15</f>
        <v>16626608</v>
      </c>
      <c r="X16" s="91"/>
      <c r="Y16" s="91"/>
      <c r="Z16" s="91"/>
      <c r="AA16" s="91"/>
      <c r="AB16" s="91"/>
      <c r="AC16" s="92">
        <f>AC11+AC15</f>
        <v>17544129</v>
      </c>
      <c r="AD16" s="91"/>
      <c r="AE16" s="91"/>
      <c r="AF16" s="91"/>
      <c r="AG16" s="91"/>
      <c r="AH16" s="91"/>
      <c r="AI16" s="92">
        <f>AI11+AI15</f>
        <v>18776545</v>
      </c>
      <c r="AJ16" s="91"/>
      <c r="AK16" s="91"/>
      <c r="AL16" s="91"/>
      <c r="AM16" s="91"/>
      <c r="AN16" s="91"/>
      <c r="AO16" s="92">
        <f>AO11+AO15</f>
        <v>16409269</v>
      </c>
      <c r="AP16" s="91"/>
      <c r="AQ16" s="91"/>
      <c r="AR16" s="91"/>
      <c r="AS16" s="91"/>
      <c r="AT16" s="91"/>
      <c r="AU16" s="92">
        <f>AU11+AU15</f>
        <v>18338804</v>
      </c>
      <c r="AV16" s="91"/>
      <c r="AW16" s="91"/>
      <c r="AX16" s="91"/>
      <c r="AY16" s="91"/>
      <c r="AZ16" s="91"/>
      <c r="BA16" s="92">
        <f>BA11+BA15</f>
        <v>18949849</v>
      </c>
      <c r="BB16" s="91"/>
      <c r="BC16" s="91"/>
      <c r="BD16" s="91"/>
      <c r="BE16" s="91"/>
      <c r="BF16" s="91"/>
      <c r="BG16" s="92">
        <f>BG11+BG15</f>
        <v>17205786</v>
      </c>
      <c r="BH16" s="91"/>
      <c r="BI16" s="91"/>
      <c r="BJ16" s="91"/>
      <c r="BK16" s="91"/>
      <c r="BL16" s="91"/>
      <c r="BM16" s="92">
        <f>BM11+BM15</f>
        <v>18268893</v>
      </c>
      <c r="BN16" s="91"/>
      <c r="BO16" s="91"/>
      <c r="BP16" s="91"/>
      <c r="BQ16" s="91"/>
      <c r="BR16" s="91"/>
      <c r="BS16" s="92">
        <f>BS11+BS15</f>
        <v>13232625</v>
      </c>
      <c r="BT16" s="91"/>
    </row>
    <row r="17" spans="1:72">
      <c r="A17" s="357" t="s">
        <v>740</v>
      </c>
      <c r="B17" s="357" t="s">
        <v>741</v>
      </c>
      <c r="C17" s="91"/>
      <c r="D17" s="358">
        <v>4</v>
      </c>
      <c r="E17" s="358">
        <v>100680</v>
      </c>
      <c r="F17" s="359">
        <v>278.64</v>
      </c>
      <c r="G17" s="357" t="s">
        <v>740</v>
      </c>
      <c r="H17" s="357" t="s">
        <v>741</v>
      </c>
      <c r="I17" s="91"/>
      <c r="J17" s="358">
        <v>4</v>
      </c>
      <c r="K17" s="358">
        <v>122176</v>
      </c>
      <c r="L17" s="359">
        <v>294.08</v>
      </c>
      <c r="M17" s="357" t="s">
        <v>740</v>
      </c>
      <c r="N17" s="357" t="s">
        <v>741</v>
      </c>
      <c r="O17" s="91"/>
      <c r="P17" s="358">
        <v>4</v>
      </c>
      <c r="Q17" s="358">
        <v>102736</v>
      </c>
      <c r="R17" s="359">
        <v>290.24</v>
      </c>
      <c r="S17" s="357" t="s">
        <v>740</v>
      </c>
      <c r="T17" s="357" t="s">
        <v>741</v>
      </c>
      <c r="U17" s="91"/>
      <c r="V17" s="358">
        <v>4</v>
      </c>
      <c r="W17" s="358">
        <v>108136</v>
      </c>
      <c r="X17" s="359">
        <v>296.56</v>
      </c>
      <c r="Y17" s="357" t="s">
        <v>740</v>
      </c>
      <c r="Z17" s="357" t="s">
        <v>741</v>
      </c>
      <c r="AA17" s="91"/>
      <c r="AB17" s="358">
        <v>4</v>
      </c>
      <c r="AC17" s="358">
        <v>115776</v>
      </c>
      <c r="AD17" s="359">
        <v>274.39999999999998</v>
      </c>
      <c r="AE17" s="357" t="s">
        <v>740</v>
      </c>
      <c r="AF17" s="357" t="s">
        <v>741</v>
      </c>
      <c r="AG17" s="91"/>
      <c r="AH17" s="358">
        <v>4</v>
      </c>
      <c r="AI17" s="358">
        <v>114248</v>
      </c>
      <c r="AJ17" s="359">
        <v>234</v>
      </c>
      <c r="AK17" s="357" t="s">
        <v>740</v>
      </c>
      <c r="AL17" s="357" t="s">
        <v>741</v>
      </c>
      <c r="AM17" s="91"/>
      <c r="AN17" s="358">
        <v>4</v>
      </c>
      <c r="AO17" s="358">
        <v>95592</v>
      </c>
      <c r="AP17" s="359">
        <v>238.4</v>
      </c>
      <c r="AQ17" s="357" t="s">
        <v>740</v>
      </c>
      <c r="AR17" s="357" t="s">
        <v>741</v>
      </c>
      <c r="AS17" s="91"/>
      <c r="AT17" s="358">
        <v>4</v>
      </c>
      <c r="AU17" s="358">
        <v>103520</v>
      </c>
      <c r="AV17" s="359">
        <v>243.6</v>
      </c>
      <c r="AW17" s="357" t="s">
        <v>740</v>
      </c>
      <c r="AX17" s="357" t="s">
        <v>741</v>
      </c>
      <c r="AY17" s="91"/>
      <c r="AZ17" s="358">
        <v>4</v>
      </c>
      <c r="BA17" s="358">
        <v>121664</v>
      </c>
      <c r="BB17" s="359">
        <v>304.95999999999998</v>
      </c>
      <c r="BC17" s="357" t="s">
        <v>740</v>
      </c>
      <c r="BD17" s="357" t="s">
        <v>741</v>
      </c>
      <c r="BE17" s="91"/>
      <c r="BF17" s="358">
        <v>4</v>
      </c>
      <c r="BG17" s="358">
        <v>104240</v>
      </c>
      <c r="BH17" s="359">
        <v>290.8</v>
      </c>
      <c r="BI17" s="357" t="s">
        <v>740</v>
      </c>
      <c r="BJ17" s="357" t="s">
        <v>741</v>
      </c>
      <c r="BK17" s="91"/>
      <c r="BL17" s="358">
        <v>4</v>
      </c>
      <c r="BM17" s="358">
        <v>128616</v>
      </c>
      <c r="BN17" s="359">
        <v>302.39999999999998</v>
      </c>
      <c r="BO17" s="357" t="s">
        <v>740</v>
      </c>
      <c r="BP17" s="357" t="s">
        <v>741</v>
      </c>
      <c r="BQ17" s="91"/>
      <c r="BR17" s="358">
        <v>4</v>
      </c>
      <c r="BS17" s="358">
        <v>84632</v>
      </c>
      <c r="BT17" s="359">
        <v>270.16000000000003</v>
      </c>
    </row>
    <row r="18" spans="1:72">
      <c r="A18" s="357" t="s">
        <v>742</v>
      </c>
      <c r="B18" s="357" t="s">
        <v>743</v>
      </c>
      <c r="C18" s="91"/>
      <c r="D18" s="358">
        <v>2</v>
      </c>
      <c r="E18" s="358">
        <v>433248</v>
      </c>
      <c r="F18" s="359">
        <v>785.28</v>
      </c>
      <c r="G18" s="357" t="s">
        <v>742</v>
      </c>
      <c r="H18" s="357" t="s">
        <v>743</v>
      </c>
      <c r="I18" s="91"/>
      <c r="J18" s="358">
        <v>2</v>
      </c>
      <c r="K18" s="358">
        <v>494880</v>
      </c>
      <c r="L18" s="359">
        <v>821.76</v>
      </c>
      <c r="M18" s="357" t="s">
        <v>742</v>
      </c>
      <c r="N18" s="357" t="s">
        <v>743</v>
      </c>
      <c r="O18" s="91"/>
      <c r="P18" s="358">
        <v>2</v>
      </c>
      <c r="Q18" s="358">
        <v>423264</v>
      </c>
      <c r="R18" s="359">
        <v>844.32</v>
      </c>
      <c r="S18" s="357" t="s">
        <v>742</v>
      </c>
      <c r="T18" s="357" t="s">
        <v>743</v>
      </c>
      <c r="U18" s="91"/>
      <c r="V18" s="358">
        <v>2</v>
      </c>
      <c r="W18" s="358">
        <v>461568</v>
      </c>
      <c r="X18" s="359">
        <v>962.88</v>
      </c>
      <c r="Y18" s="357" t="s">
        <v>742</v>
      </c>
      <c r="Z18" s="357" t="s">
        <v>743</v>
      </c>
      <c r="AA18" s="91"/>
      <c r="AB18" s="358">
        <v>2</v>
      </c>
      <c r="AC18" s="358">
        <v>499584</v>
      </c>
      <c r="AD18" s="359">
        <v>1005.12</v>
      </c>
      <c r="AE18" s="357" t="s">
        <v>742</v>
      </c>
      <c r="AF18" s="357" t="s">
        <v>743</v>
      </c>
      <c r="AG18" s="91"/>
      <c r="AH18" s="358">
        <v>2</v>
      </c>
      <c r="AI18" s="358">
        <v>471168</v>
      </c>
      <c r="AJ18" s="359">
        <v>1031.04</v>
      </c>
      <c r="AK18" s="357" t="s">
        <v>742</v>
      </c>
      <c r="AL18" s="357" t="s">
        <v>743</v>
      </c>
      <c r="AM18" s="91"/>
      <c r="AN18" s="358">
        <v>2</v>
      </c>
      <c r="AO18" s="358">
        <v>526752</v>
      </c>
      <c r="AP18" s="359">
        <v>1117.44</v>
      </c>
      <c r="AQ18" s="357" t="s">
        <v>742</v>
      </c>
      <c r="AR18" s="357" t="s">
        <v>743</v>
      </c>
      <c r="AS18" s="91"/>
      <c r="AT18" s="358">
        <v>2</v>
      </c>
      <c r="AU18" s="358">
        <v>571584</v>
      </c>
      <c r="AV18" s="359">
        <v>1122.24</v>
      </c>
      <c r="AW18" s="357" t="s">
        <v>742</v>
      </c>
      <c r="AX18" s="357" t="s">
        <v>743</v>
      </c>
      <c r="AY18" s="91"/>
      <c r="AZ18" s="358">
        <v>2</v>
      </c>
      <c r="BA18" s="358">
        <v>520608</v>
      </c>
      <c r="BB18" s="359">
        <v>1047.3599999999999</v>
      </c>
      <c r="BC18" s="357" t="s">
        <v>742</v>
      </c>
      <c r="BD18" s="357" t="s">
        <v>743</v>
      </c>
      <c r="BE18" s="91"/>
      <c r="BF18" s="358">
        <v>2</v>
      </c>
      <c r="BG18" s="358">
        <v>453984</v>
      </c>
      <c r="BH18" s="359">
        <v>1083.3599999999999</v>
      </c>
      <c r="BI18" s="357" t="s">
        <v>742</v>
      </c>
      <c r="BJ18" s="357" t="s">
        <v>743</v>
      </c>
      <c r="BK18" s="91"/>
      <c r="BL18" s="358">
        <v>2</v>
      </c>
      <c r="BM18" s="358">
        <v>471552</v>
      </c>
      <c r="BN18" s="359">
        <v>975.36</v>
      </c>
      <c r="BO18" s="357" t="s">
        <v>742</v>
      </c>
      <c r="BP18" s="357" t="s">
        <v>743</v>
      </c>
      <c r="BQ18" s="91"/>
      <c r="BR18" s="358">
        <v>2</v>
      </c>
      <c r="BS18" s="358">
        <v>424896</v>
      </c>
      <c r="BT18" s="359">
        <v>878.4</v>
      </c>
    </row>
    <row r="19" spans="1:72">
      <c r="A19" s="357" t="s">
        <v>744</v>
      </c>
      <c r="B19" s="357" t="s">
        <v>745</v>
      </c>
      <c r="C19" s="91"/>
      <c r="D19" s="358">
        <v>93</v>
      </c>
      <c r="E19" s="358">
        <v>1502045</v>
      </c>
      <c r="F19" s="359">
        <v>4417.6899999999996</v>
      </c>
      <c r="G19" s="357" t="s">
        <v>744</v>
      </c>
      <c r="H19" s="357" t="s">
        <v>745</v>
      </c>
      <c r="I19" s="91"/>
      <c r="J19" s="358">
        <v>96</v>
      </c>
      <c r="K19" s="358">
        <v>1574697</v>
      </c>
      <c r="L19" s="359">
        <v>4512.7700000000004</v>
      </c>
      <c r="M19" s="357" t="s">
        <v>744</v>
      </c>
      <c r="N19" s="357" t="s">
        <v>745</v>
      </c>
      <c r="O19" s="91"/>
      <c r="P19" s="358">
        <v>94</v>
      </c>
      <c r="Q19" s="358">
        <v>1404573</v>
      </c>
      <c r="R19" s="359">
        <v>4392.01</v>
      </c>
      <c r="S19" s="357" t="s">
        <v>744</v>
      </c>
      <c r="T19" s="357" t="s">
        <v>745</v>
      </c>
      <c r="U19" s="91"/>
      <c r="V19" s="358">
        <v>94</v>
      </c>
      <c r="W19" s="358">
        <v>1322258</v>
      </c>
      <c r="X19" s="359">
        <v>4213.8100000000004</v>
      </c>
      <c r="Y19" s="357" t="s">
        <v>744</v>
      </c>
      <c r="Z19" s="357" t="s">
        <v>745</v>
      </c>
      <c r="AA19" s="91"/>
      <c r="AB19" s="358">
        <v>94</v>
      </c>
      <c r="AC19" s="358">
        <v>1404964</v>
      </c>
      <c r="AD19" s="359">
        <v>4373.05</v>
      </c>
      <c r="AE19" s="357" t="s">
        <v>744</v>
      </c>
      <c r="AF19" s="357" t="s">
        <v>745</v>
      </c>
      <c r="AG19" s="91"/>
      <c r="AH19" s="358">
        <v>94</v>
      </c>
      <c r="AI19" s="358">
        <v>1477400</v>
      </c>
      <c r="AJ19" s="359">
        <v>4471.1000000000004</v>
      </c>
      <c r="AK19" s="357" t="s">
        <v>744</v>
      </c>
      <c r="AL19" s="357" t="s">
        <v>745</v>
      </c>
      <c r="AM19" s="91"/>
      <c r="AN19" s="358">
        <v>94</v>
      </c>
      <c r="AO19" s="358">
        <v>1705583</v>
      </c>
      <c r="AP19" s="359">
        <v>4566.5600000000004</v>
      </c>
      <c r="AQ19" s="357" t="s">
        <v>744</v>
      </c>
      <c r="AR19" s="357" t="s">
        <v>745</v>
      </c>
      <c r="AS19" s="91"/>
      <c r="AT19" s="358">
        <v>94</v>
      </c>
      <c r="AU19" s="358">
        <v>1731039</v>
      </c>
      <c r="AV19" s="359">
        <v>4678.95</v>
      </c>
      <c r="AW19" s="357" t="s">
        <v>744</v>
      </c>
      <c r="AX19" s="357" t="s">
        <v>745</v>
      </c>
      <c r="AY19" s="91"/>
      <c r="AZ19" s="358">
        <v>92</v>
      </c>
      <c r="BA19" s="358">
        <v>1666735</v>
      </c>
      <c r="BB19" s="359">
        <v>4414.28</v>
      </c>
      <c r="BC19" s="357" t="s">
        <v>744</v>
      </c>
      <c r="BD19" s="357" t="s">
        <v>745</v>
      </c>
      <c r="BE19" s="91"/>
      <c r="BF19" s="358">
        <v>104</v>
      </c>
      <c r="BG19" s="358">
        <v>1475120</v>
      </c>
      <c r="BH19" s="359">
        <v>4767.74</v>
      </c>
      <c r="BI19" s="357" t="s">
        <v>744</v>
      </c>
      <c r="BJ19" s="357" t="s">
        <v>745</v>
      </c>
      <c r="BK19" s="91"/>
      <c r="BL19" s="358">
        <v>106</v>
      </c>
      <c r="BM19" s="358">
        <v>1412906</v>
      </c>
      <c r="BN19" s="359">
        <v>4336.2</v>
      </c>
      <c r="BO19" s="357" t="s">
        <v>744</v>
      </c>
      <c r="BP19" s="357" t="s">
        <v>745</v>
      </c>
      <c r="BQ19" s="91"/>
      <c r="BR19" s="358">
        <v>106</v>
      </c>
      <c r="BS19" s="358">
        <v>1447592</v>
      </c>
      <c r="BT19" s="359">
        <v>4661.63</v>
      </c>
    </row>
    <row r="20" spans="1:72">
      <c r="A20" s="357" t="s">
        <v>746</v>
      </c>
      <c r="B20" s="357" t="s">
        <v>747</v>
      </c>
      <c r="C20" s="91"/>
      <c r="D20" s="358">
        <v>25</v>
      </c>
      <c r="E20" s="358">
        <v>2459927</v>
      </c>
      <c r="F20" s="359">
        <v>4961.96</v>
      </c>
      <c r="G20" s="357" t="s">
        <v>746</v>
      </c>
      <c r="H20" s="357" t="s">
        <v>747</v>
      </c>
      <c r="I20" s="91"/>
      <c r="J20" s="358">
        <v>26</v>
      </c>
      <c r="K20" s="358">
        <v>2132750</v>
      </c>
      <c r="L20" s="359">
        <v>4716.68</v>
      </c>
      <c r="M20" s="357" t="s">
        <v>746</v>
      </c>
      <c r="N20" s="357" t="s">
        <v>747</v>
      </c>
      <c r="O20" s="91"/>
      <c r="P20" s="358">
        <v>26</v>
      </c>
      <c r="Q20" s="358">
        <v>1782413</v>
      </c>
      <c r="R20" s="359">
        <v>4676.25</v>
      </c>
      <c r="S20" s="357" t="s">
        <v>746</v>
      </c>
      <c r="T20" s="357" t="s">
        <v>747</v>
      </c>
      <c r="U20" s="91"/>
      <c r="V20" s="358">
        <v>26</v>
      </c>
      <c r="W20" s="358">
        <v>1905965</v>
      </c>
      <c r="X20" s="359">
        <v>4139.6099999999997</v>
      </c>
      <c r="Y20" s="357" t="s">
        <v>746</v>
      </c>
      <c r="Z20" s="357" t="s">
        <v>747</v>
      </c>
      <c r="AA20" s="91"/>
      <c r="AB20" s="358">
        <v>26</v>
      </c>
      <c r="AC20" s="358">
        <v>1664761</v>
      </c>
      <c r="AD20" s="359">
        <v>4021.44</v>
      </c>
      <c r="AE20" s="357" t="s">
        <v>746</v>
      </c>
      <c r="AF20" s="357" t="s">
        <v>747</v>
      </c>
      <c r="AG20" s="91"/>
      <c r="AH20" s="358">
        <v>26</v>
      </c>
      <c r="AI20" s="358">
        <v>2166468</v>
      </c>
      <c r="AJ20" s="359">
        <v>4291.66</v>
      </c>
      <c r="AK20" s="357" t="s">
        <v>746</v>
      </c>
      <c r="AL20" s="357" t="s">
        <v>747</v>
      </c>
      <c r="AM20" s="91"/>
      <c r="AN20" s="358">
        <v>26</v>
      </c>
      <c r="AO20" s="358">
        <v>1988973</v>
      </c>
      <c r="AP20" s="359">
        <v>4485.99</v>
      </c>
      <c r="AQ20" s="357" t="s">
        <v>746</v>
      </c>
      <c r="AR20" s="357" t="s">
        <v>747</v>
      </c>
      <c r="AS20" s="91"/>
      <c r="AT20" s="358">
        <v>26</v>
      </c>
      <c r="AU20" s="358">
        <v>1867582</v>
      </c>
      <c r="AV20" s="359">
        <v>4682.96</v>
      </c>
      <c r="AW20" s="357" t="s">
        <v>746</v>
      </c>
      <c r="AX20" s="357" t="s">
        <v>747</v>
      </c>
      <c r="AY20" s="91"/>
      <c r="AZ20" s="358">
        <v>26</v>
      </c>
      <c r="BA20" s="358">
        <v>1832346</v>
      </c>
      <c r="BB20" s="359">
        <v>4283.62</v>
      </c>
      <c r="BC20" s="357" t="s">
        <v>746</v>
      </c>
      <c r="BD20" s="357" t="s">
        <v>747</v>
      </c>
      <c r="BE20" s="91"/>
      <c r="BF20" s="358">
        <v>26</v>
      </c>
      <c r="BG20" s="358">
        <v>1809393</v>
      </c>
      <c r="BH20" s="359">
        <v>4142.41</v>
      </c>
      <c r="BI20" s="357" t="s">
        <v>746</v>
      </c>
      <c r="BJ20" s="357" t="s">
        <v>747</v>
      </c>
      <c r="BK20" s="91"/>
      <c r="BL20" s="358">
        <v>26</v>
      </c>
      <c r="BM20" s="358">
        <v>1721208</v>
      </c>
      <c r="BN20" s="359">
        <v>4036.79</v>
      </c>
      <c r="BO20" s="357" t="s">
        <v>746</v>
      </c>
      <c r="BP20" s="357" t="s">
        <v>747</v>
      </c>
      <c r="BQ20" s="91"/>
      <c r="BR20" s="358">
        <v>26</v>
      </c>
      <c r="BS20" s="358">
        <v>1989448</v>
      </c>
      <c r="BT20" s="359">
        <v>4858.08</v>
      </c>
    </row>
    <row r="21" spans="1:72">
      <c r="A21" s="357" t="s">
        <v>748</v>
      </c>
      <c r="B21" s="357" t="s">
        <v>749</v>
      </c>
      <c r="C21" s="91"/>
      <c r="D21" s="358">
        <v>543</v>
      </c>
      <c r="E21" s="358">
        <v>1176243</v>
      </c>
      <c r="F21" s="359">
        <v>2989.59</v>
      </c>
      <c r="G21" s="357" t="s">
        <v>748</v>
      </c>
      <c r="H21" s="357" t="s">
        <v>749</v>
      </c>
      <c r="I21" s="91"/>
      <c r="J21" s="358">
        <v>552</v>
      </c>
      <c r="K21" s="358">
        <v>1218040</v>
      </c>
      <c r="L21" s="359">
        <v>2789.33</v>
      </c>
      <c r="M21" s="357" t="s">
        <v>748</v>
      </c>
      <c r="N21" s="357" t="s">
        <v>749</v>
      </c>
      <c r="O21" s="91"/>
      <c r="P21" s="358">
        <v>551</v>
      </c>
      <c r="Q21" s="358">
        <v>1069568</v>
      </c>
      <c r="R21" s="359">
        <v>2848.09</v>
      </c>
      <c r="S21" s="357" t="s">
        <v>748</v>
      </c>
      <c r="T21" s="357" t="s">
        <v>749</v>
      </c>
      <c r="U21" s="91"/>
      <c r="V21" s="358">
        <v>551</v>
      </c>
      <c r="W21" s="358">
        <v>880437</v>
      </c>
      <c r="X21" s="359">
        <v>2729.24</v>
      </c>
      <c r="Y21" s="357" t="s">
        <v>748</v>
      </c>
      <c r="Z21" s="357" t="s">
        <v>749</v>
      </c>
      <c r="AA21" s="91"/>
      <c r="AB21" s="358">
        <v>553</v>
      </c>
      <c r="AC21" s="358">
        <v>975924</v>
      </c>
      <c r="AD21" s="359">
        <v>2930.32</v>
      </c>
      <c r="AE21" s="357" t="s">
        <v>748</v>
      </c>
      <c r="AF21" s="357" t="s">
        <v>749</v>
      </c>
      <c r="AG21" s="91"/>
      <c r="AH21" s="358">
        <v>556</v>
      </c>
      <c r="AI21" s="358">
        <v>778391</v>
      </c>
      <c r="AJ21" s="359">
        <v>2478.02</v>
      </c>
      <c r="AK21" s="357" t="s">
        <v>748</v>
      </c>
      <c r="AL21" s="357" t="s">
        <v>749</v>
      </c>
      <c r="AM21" s="91"/>
      <c r="AN21" s="358">
        <v>552</v>
      </c>
      <c r="AO21" s="358">
        <v>1042393</v>
      </c>
      <c r="AP21" s="359">
        <v>2682.72</v>
      </c>
      <c r="AQ21" s="357" t="s">
        <v>748</v>
      </c>
      <c r="AR21" s="357" t="s">
        <v>749</v>
      </c>
      <c r="AS21" s="91"/>
      <c r="AT21" s="358">
        <v>565</v>
      </c>
      <c r="AU21" s="358">
        <v>1212027</v>
      </c>
      <c r="AV21" s="359">
        <v>2887.73</v>
      </c>
      <c r="AW21" s="357" t="s">
        <v>748</v>
      </c>
      <c r="AX21" s="357" t="s">
        <v>749</v>
      </c>
      <c r="AY21" s="91"/>
      <c r="AZ21" s="358">
        <v>564</v>
      </c>
      <c r="BA21" s="358">
        <v>1099045</v>
      </c>
      <c r="BB21" s="359">
        <v>2850.96</v>
      </c>
      <c r="BC21" s="357" t="s">
        <v>748</v>
      </c>
      <c r="BD21" s="357" t="s">
        <v>749</v>
      </c>
      <c r="BE21" s="91"/>
      <c r="BF21" s="358">
        <v>548</v>
      </c>
      <c r="BG21" s="358">
        <v>922865</v>
      </c>
      <c r="BH21" s="359">
        <v>2523.0700000000002</v>
      </c>
      <c r="BI21" s="357" t="s">
        <v>748</v>
      </c>
      <c r="BJ21" s="357" t="s">
        <v>749</v>
      </c>
      <c r="BK21" s="91"/>
      <c r="BL21" s="358">
        <v>545</v>
      </c>
      <c r="BM21" s="358">
        <v>943897</v>
      </c>
      <c r="BN21" s="359">
        <v>2628.59</v>
      </c>
      <c r="BO21" s="357" t="s">
        <v>748</v>
      </c>
      <c r="BP21" s="357" t="s">
        <v>749</v>
      </c>
      <c r="BQ21" s="91"/>
      <c r="BR21" s="358">
        <v>549</v>
      </c>
      <c r="BS21" s="358">
        <v>1038789</v>
      </c>
      <c r="BT21" s="359">
        <v>2619.62</v>
      </c>
    </row>
    <row r="22" spans="1:72">
      <c r="A22" s="357" t="s">
        <v>750</v>
      </c>
      <c r="B22" s="357" t="s">
        <v>751</v>
      </c>
      <c r="C22" s="91"/>
      <c r="D22" s="358">
        <v>53</v>
      </c>
      <c r="E22" s="358">
        <v>10566</v>
      </c>
      <c r="F22" s="359">
        <v>0</v>
      </c>
      <c r="G22" s="357" t="s">
        <v>750</v>
      </c>
      <c r="H22" s="357" t="s">
        <v>751</v>
      </c>
      <c r="I22" s="91"/>
      <c r="J22" s="358">
        <v>52</v>
      </c>
      <c r="K22" s="358">
        <v>10281</v>
      </c>
      <c r="L22" s="359">
        <v>0</v>
      </c>
      <c r="M22" s="357" t="s">
        <v>750</v>
      </c>
      <c r="N22" s="357" t="s">
        <v>751</v>
      </c>
      <c r="O22" s="91"/>
      <c r="P22" s="358">
        <v>52</v>
      </c>
      <c r="Q22" s="358">
        <v>10363</v>
      </c>
      <c r="R22" s="359">
        <v>0</v>
      </c>
      <c r="S22" s="357" t="s">
        <v>750</v>
      </c>
      <c r="T22" s="357" t="s">
        <v>751</v>
      </c>
      <c r="U22" s="91"/>
      <c r="V22" s="358">
        <v>52</v>
      </c>
      <c r="W22" s="358">
        <v>10393</v>
      </c>
      <c r="X22" s="359">
        <v>0</v>
      </c>
      <c r="Y22" s="357" t="s">
        <v>750</v>
      </c>
      <c r="Z22" s="357" t="s">
        <v>751</v>
      </c>
      <c r="AA22" s="91"/>
      <c r="AB22" s="358">
        <v>52</v>
      </c>
      <c r="AC22" s="358">
        <v>10382</v>
      </c>
      <c r="AD22" s="359">
        <v>0</v>
      </c>
      <c r="AE22" s="357" t="s">
        <v>750</v>
      </c>
      <c r="AF22" s="357" t="s">
        <v>751</v>
      </c>
      <c r="AG22" s="91"/>
      <c r="AH22" s="358">
        <v>52</v>
      </c>
      <c r="AI22" s="358">
        <v>10380</v>
      </c>
      <c r="AJ22" s="359">
        <v>0</v>
      </c>
      <c r="AK22" s="357" t="s">
        <v>750</v>
      </c>
      <c r="AL22" s="357" t="s">
        <v>751</v>
      </c>
      <c r="AM22" s="91"/>
      <c r="AN22" s="358">
        <v>52</v>
      </c>
      <c r="AO22" s="358">
        <v>10288</v>
      </c>
      <c r="AP22" s="359">
        <v>0</v>
      </c>
      <c r="AQ22" s="357" t="s">
        <v>750</v>
      </c>
      <c r="AR22" s="357" t="s">
        <v>751</v>
      </c>
      <c r="AS22" s="91"/>
      <c r="AT22" s="358">
        <v>52</v>
      </c>
      <c r="AU22" s="358">
        <v>10129</v>
      </c>
      <c r="AV22" s="359">
        <v>0</v>
      </c>
      <c r="AW22" s="357" t="s">
        <v>750</v>
      </c>
      <c r="AX22" s="357" t="s">
        <v>751</v>
      </c>
      <c r="AY22" s="91"/>
      <c r="AZ22" s="358">
        <v>52</v>
      </c>
      <c r="BA22" s="358">
        <v>10374</v>
      </c>
      <c r="BB22" s="359">
        <v>0</v>
      </c>
      <c r="BC22" s="357" t="s">
        <v>750</v>
      </c>
      <c r="BD22" s="357" t="s">
        <v>751</v>
      </c>
      <c r="BE22" s="91"/>
      <c r="BF22" s="358">
        <v>52</v>
      </c>
      <c r="BG22" s="358">
        <v>10422</v>
      </c>
      <c r="BH22" s="359">
        <v>0</v>
      </c>
      <c r="BI22" s="357" t="s">
        <v>750</v>
      </c>
      <c r="BJ22" s="357" t="s">
        <v>751</v>
      </c>
      <c r="BK22" s="91"/>
      <c r="BL22" s="358">
        <v>52</v>
      </c>
      <c r="BM22" s="358">
        <v>10409</v>
      </c>
      <c r="BN22" s="359">
        <v>0</v>
      </c>
      <c r="BO22" s="357" t="s">
        <v>750</v>
      </c>
      <c r="BP22" s="357" t="s">
        <v>751</v>
      </c>
      <c r="BQ22" s="91"/>
      <c r="BR22" s="358">
        <v>52</v>
      </c>
      <c r="BS22" s="358">
        <v>10388</v>
      </c>
      <c r="BT22" s="359">
        <v>0</v>
      </c>
    </row>
    <row r="23" spans="1:72">
      <c r="A23" s="357" t="s">
        <v>752</v>
      </c>
      <c r="B23" s="357" t="s">
        <v>753</v>
      </c>
      <c r="C23" s="91"/>
      <c r="D23" s="358">
        <v>5</v>
      </c>
      <c r="E23" s="358">
        <v>1075660</v>
      </c>
      <c r="F23" s="359">
        <v>2136.84</v>
      </c>
      <c r="G23" s="357" t="s">
        <v>752</v>
      </c>
      <c r="H23" s="357" t="s">
        <v>753</v>
      </c>
      <c r="I23" s="91"/>
      <c r="J23" s="358">
        <v>5</v>
      </c>
      <c r="K23" s="358">
        <v>1138240</v>
      </c>
      <c r="L23" s="359">
        <v>2188.7199999999998</v>
      </c>
      <c r="M23" s="357" t="s">
        <v>752</v>
      </c>
      <c r="N23" s="357" t="s">
        <v>753</v>
      </c>
      <c r="O23" s="91"/>
      <c r="P23" s="358">
        <v>5</v>
      </c>
      <c r="Q23" s="358">
        <v>1053340</v>
      </c>
      <c r="R23" s="359">
        <v>2182.2800000000002</v>
      </c>
      <c r="S23" s="357" t="s">
        <v>752</v>
      </c>
      <c r="T23" s="357" t="s">
        <v>753</v>
      </c>
      <c r="U23" s="91"/>
      <c r="V23" s="358">
        <v>5</v>
      </c>
      <c r="W23" s="358">
        <v>1093940</v>
      </c>
      <c r="X23" s="359">
        <v>2183.84</v>
      </c>
      <c r="Y23" s="357" t="s">
        <v>752</v>
      </c>
      <c r="Z23" s="357" t="s">
        <v>753</v>
      </c>
      <c r="AA23" s="91"/>
      <c r="AB23" s="358">
        <v>5</v>
      </c>
      <c r="AC23" s="358">
        <v>1090620</v>
      </c>
      <c r="AD23" s="359">
        <v>2370.9</v>
      </c>
      <c r="AE23" s="357" t="s">
        <v>752</v>
      </c>
      <c r="AF23" s="357" t="s">
        <v>753</v>
      </c>
      <c r="AG23" s="91"/>
      <c r="AH23" s="358">
        <v>5</v>
      </c>
      <c r="AI23" s="358">
        <v>1224420</v>
      </c>
      <c r="AJ23" s="359">
        <v>2456.04</v>
      </c>
      <c r="AK23" s="357" t="s">
        <v>752</v>
      </c>
      <c r="AL23" s="357" t="s">
        <v>753</v>
      </c>
      <c r="AM23" s="91"/>
      <c r="AN23" s="358">
        <v>5</v>
      </c>
      <c r="AO23" s="358">
        <v>1346160</v>
      </c>
      <c r="AP23" s="359">
        <v>2560.16</v>
      </c>
      <c r="AQ23" s="357" t="s">
        <v>752</v>
      </c>
      <c r="AR23" s="357" t="s">
        <v>753</v>
      </c>
      <c r="AS23" s="91"/>
      <c r="AT23" s="358">
        <v>5</v>
      </c>
      <c r="AU23" s="358">
        <v>1303000</v>
      </c>
      <c r="AV23" s="359">
        <v>2626.3</v>
      </c>
      <c r="AW23" s="357" t="s">
        <v>752</v>
      </c>
      <c r="AX23" s="357" t="s">
        <v>753</v>
      </c>
      <c r="AY23" s="91"/>
      <c r="AZ23" s="358">
        <v>5</v>
      </c>
      <c r="BA23" s="358">
        <v>1295940</v>
      </c>
      <c r="BB23" s="359">
        <v>2560.5</v>
      </c>
      <c r="BC23" s="357" t="s">
        <v>752</v>
      </c>
      <c r="BD23" s="357" t="s">
        <v>753</v>
      </c>
      <c r="BE23" s="91"/>
      <c r="BF23" s="358">
        <v>5</v>
      </c>
      <c r="BG23" s="358">
        <v>1241360</v>
      </c>
      <c r="BH23" s="359">
        <v>2460.36</v>
      </c>
      <c r="BI23" s="357" t="s">
        <v>752</v>
      </c>
      <c r="BJ23" s="357" t="s">
        <v>753</v>
      </c>
      <c r="BK23" s="91"/>
      <c r="BL23" s="358">
        <v>5</v>
      </c>
      <c r="BM23" s="358">
        <v>1113000</v>
      </c>
      <c r="BN23" s="359">
        <v>2283.4</v>
      </c>
      <c r="BO23" s="357" t="s">
        <v>752</v>
      </c>
      <c r="BP23" s="357" t="s">
        <v>753</v>
      </c>
      <c r="BQ23" s="91"/>
      <c r="BR23" s="358">
        <v>5</v>
      </c>
      <c r="BS23" s="358">
        <v>1161380</v>
      </c>
      <c r="BT23" s="359">
        <v>2242.3000000000002</v>
      </c>
    </row>
    <row r="24" spans="1:72">
      <c r="A24" s="357" t="s">
        <v>754</v>
      </c>
      <c r="B24" s="357" t="s">
        <v>755</v>
      </c>
      <c r="C24" s="91"/>
      <c r="D24" s="358">
        <v>47</v>
      </c>
      <c r="E24" s="358">
        <v>262710</v>
      </c>
      <c r="F24" s="359">
        <v>502.96</v>
      </c>
      <c r="G24" s="357" t="s">
        <v>754</v>
      </c>
      <c r="H24" s="357" t="s">
        <v>755</v>
      </c>
      <c r="I24" s="91"/>
      <c r="J24" s="358">
        <v>47</v>
      </c>
      <c r="K24" s="358">
        <v>274018</v>
      </c>
      <c r="L24" s="359">
        <v>518.07000000000005</v>
      </c>
      <c r="M24" s="357" t="s">
        <v>754</v>
      </c>
      <c r="N24" s="357" t="s">
        <v>755</v>
      </c>
      <c r="O24" s="91"/>
      <c r="P24" s="358">
        <v>47</v>
      </c>
      <c r="Q24" s="358">
        <v>241724</v>
      </c>
      <c r="R24" s="359">
        <v>517.65</v>
      </c>
      <c r="S24" s="357" t="s">
        <v>754</v>
      </c>
      <c r="T24" s="357" t="s">
        <v>755</v>
      </c>
      <c r="U24" s="91"/>
      <c r="V24" s="358">
        <v>47</v>
      </c>
      <c r="W24" s="358">
        <v>223959</v>
      </c>
      <c r="X24" s="359">
        <v>492.35</v>
      </c>
      <c r="Y24" s="357" t="s">
        <v>754</v>
      </c>
      <c r="Z24" s="357" t="s">
        <v>755</v>
      </c>
      <c r="AA24" s="91"/>
      <c r="AB24" s="358">
        <v>47</v>
      </c>
      <c r="AC24" s="358">
        <v>215843</v>
      </c>
      <c r="AD24" s="359">
        <v>486.94</v>
      </c>
      <c r="AE24" s="357" t="s">
        <v>754</v>
      </c>
      <c r="AF24" s="357" t="s">
        <v>755</v>
      </c>
      <c r="AG24" s="91"/>
      <c r="AH24" s="358">
        <v>47</v>
      </c>
      <c r="AI24" s="358">
        <v>226133</v>
      </c>
      <c r="AJ24" s="359">
        <v>511.04</v>
      </c>
      <c r="AK24" s="357" t="s">
        <v>754</v>
      </c>
      <c r="AL24" s="357" t="s">
        <v>755</v>
      </c>
      <c r="AM24" s="91"/>
      <c r="AN24" s="358">
        <v>47</v>
      </c>
      <c r="AO24" s="358">
        <v>270176</v>
      </c>
      <c r="AP24" s="359">
        <v>552.84</v>
      </c>
      <c r="AQ24" s="357" t="s">
        <v>754</v>
      </c>
      <c r="AR24" s="357" t="s">
        <v>755</v>
      </c>
      <c r="AS24" s="91"/>
      <c r="AT24" s="358">
        <v>47</v>
      </c>
      <c r="AU24" s="358">
        <v>290763</v>
      </c>
      <c r="AV24" s="359">
        <v>628.29999999999995</v>
      </c>
      <c r="AW24" s="357" t="s">
        <v>754</v>
      </c>
      <c r="AX24" s="357" t="s">
        <v>755</v>
      </c>
      <c r="AY24" s="91"/>
      <c r="AZ24" s="358">
        <v>47</v>
      </c>
      <c r="BA24" s="358">
        <v>250007</v>
      </c>
      <c r="BB24" s="359">
        <v>560.74</v>
      </c>
      <c r="BC24" s="357" t="s">
        <v>754</v>
      </c>
      <c r="BD24" s="357" t="s">
        <v>755</v>
      </c>
      <c r="BE24" s="91"/>
      <c r="BF24" s="358">
        <v>47</v>
      </c>
      <c r="BG24" s="358">
        <v>220276</v>
      </c>
      <c r="BH24" s="359">
        <v>539.63</v>
      </c>
      <c r="BI24" s="357" t="s">
        <v>754</v>
      </c>
      <c r="BJ24" s="357" t="s">
        <v>755</v>
      </c>
      <c r="BK24" s="91"/>
      <c r="BL24" s="358">
        <v>53</v>
      </c>
      <c r="BM24" s="358">
        <v>224813</v>
      </c>
      <c r="BN24" s="359">
        <v>662.41</v>
      </c>
      <c r="BO24" s="357" t="s">
        <v>754</v>
      </c>
      <c r="BP24" s="357" t="s">
        <v>755</v>
      </c>
      <c r="BQ24" s="91"/>
      <c r="BR24" s="358">
        <v>53</v>
      </c>
      <c r="BS24" s="358">
        <v>237051</v>
      </c>
      <c r="BT24" s="359">
        <v>691.19</v>
      </c>
    </row>
    <row r="25" spans="1:72">
      <c r="A25" s="357" t="s">
        <v>756</v>
      </c>
      <c r="B25" s="357" t="s">
        <v>757</v>
      </c>
      <c r="C25" s="91"/>
      <c r="D25" s="358">
        <v>9</v>
      </c>
      <c r="E25" s="358">
        <v>31540</v>
      </c>
      <c r="F25" s="359">
        <v>117.44</v>
      </c>
      <c r="G25" s="357" t="s">
        <v>756</v>
      </c>
      <c r="H25" s="357" t="s">
        <v>757</v>
      </c>
      <c r="I25" s="91"/>
      <c r="J25" s="358">
        <v>9</v>
      </c>
      <c r="K25" s="358">
        <v>36457</v>
      </c>
      <c r="L25" s="359">
        <v>113.21</v>
      </c>
      <c r="M25" s="357" t="s">
        <v>756</v>
      </c>
      <c r="N25" s="357" t="s">
        <v>757</v>
      </c>
      <c r="O25" s="91"/>
      <c r="P25" s="358">
        <v>9</v>
      </c>
      <c r="Q25" s="358">
        <v>34080</v>
      </c>
      <c r="R25" s="359">
        <v>113.85</v>
      </c>
      <c r="S25" s="357" t="s">
        <v>756</v>
      </c>
      <c r="T25" s="357" t="s">
        <v>757</v>
      </c>
      <c r="U25" s="91"/>
      <c r="V25" s="358">
        <v>9</v>
      </c>
      <c r="W25" s="358">
        <v>30560</v>
      </c>
      <c r="X25" s="359">
        <v>186.76</v>
      </c>
      <c r="Y25" s="357" t="s">
        <v>756</v>
      </c>
      <c r="Z25" s="357" t="s">
        <v>757</v>
      </c>
      <c r="AA25" s="91"/>
      <c r="AB25" s="358">
        <v>9</v>
      </c>
      <c r="AC25" s="358">
        <v>27868</v>
      </c>
      <c r="AD25" s="359">
        <v>139.96</v>
      </c>
      <c r="AE25" s="357" t="s">
        <v>756</v>
      </c>
      <c r="AF25" s="357" t="s">
        <v>757</v>
      </c>
      <c r="AG25" s="91"/>
      <c r="AH25" s="358">
        <v>9</v>
      </c>
      <c r="AI25" s="358">
        <v>19750</v>
      </c>
      <c r="AJ25" s="359">
        <v>162.44999999999999</v>
      </c>
      <c r="AK25" s="357" t="s">
        <v>756</v>
      </c>
      <c r="AL25" s="357" t="s">
        <v>757</v>
      </c>
      <c r="AM25" s="91"/>
      <c r="AN25" s="358">
        <v>9</v>
      </c>
      <c r="AO25" s="358">
        <v>26290</v>
      </c>
      <c r="AP25" s="359">
        <v>165.98</v>
      </c>
      <c r="AQ25" s="357" t="s">
        <v>756</v>
      </c>
      <c r="AR25" s="357" t="s">
        <v>757</v>
      </c>
      <c r="AS25" s="91"/>
      <c r="AT25" s="358">
        <v>9</v>
      </c>
      <c r="AU25" s="358">
        <v>21938</v>
      </c>
      <c r="AV25" s="359">
        <v>114.46</v>
      </c>
      <c r="AW25" s="357" t="s">
        <v>756</v>
      </c>
      <c r="AX25" s="357" t="s">
        <v>757</v>
      </c>
      <c r="AY25" s="91"/>
      <c r="AZ25" s="358">
        <v>9</v>
      </c>
      <c r="BA25" s="358">
        <v>21805</v>
      </c>
      <c r="BB25" s="359">
        <v>113.37</v>
      </c>
      <c r="BC25" s="357" t="s">
        <v>756</v>
      </c>
      <c r="BD25" s="357" t="s">
        <v>757</v>
      </c>
      <c r="BE25" s="91"/>
      <c r="BF25" s="358">
        <v>9</v>
      </c>
      <c r="BG25" s="358">
        <v>20500</v>
      </c>
      <c r="BH25" s="359">
        <v>115.68</v>
      </c>
      <c r="BI25" s="357" t="s">
        <v>756</v>
      </c>
      <c r="BJ25" s="357" t="s">
        <v>757</v>
      </c>
      <c r="BK25" s="91"/>
      <c r="BL25" s="358">
        <v>9</v>
      </c>
      <c r="BM25" s="358">
        <v>22414</v>
      </c>
      <c r="BN25" s="359">
        <v>120.28</v>
      </c>
      <c r="BO25" s="357" t="s">
        <v>756</v>
      </c>
      <c r="BP25" s="357" t="s">
        <v>757</v>
      </c>
      <c r="BQ25" s="91"/>
      <c r="BR25" s="358">
        <v>9</v>
      </c>
      <c r="BS25" s="358">
        <v>25516</v>
      </c>
      <c r="BT25" s="359">
        <v>119.41</v>
      </c>
    </row>
    <row r="26" spans="1:72">
      <c r="A26" s="357" t="s">
        <v>758</v>
      </c>
      <c r="B26" s="357" t="s">
        <v>759</v>
      </c>
      <c r="C26" s="91"/>
      <c r="D26" s="358">
        <v>16</v>
      </c>
      <c r="E26" s="358">
        <v>242611</v>
      </c>
      <c r="F26" s="359">
        <v>1102.48</v>
      </c>
      <c r="G26" s="357" t="s">
        <v>758</v>
      </c>
      <c r="H26" s="357" t="s">
        <v>759</v>
      </c>
      <c r="I26" s="91"/>
      <c r="J26" s="358">
        <v>16</v>
      </c>
      <c r="K26" s="358">
        <v>299901</v>
      </c>
      <c r="L26" s="359">
        <v>1089.04</v>
      </c>
      <c r="M26" s="357" t="s">
        <v>758</v>
      </c>
      <c r="N26" s="357" t="s">
        <v>759</v>
      </c>
      <c r="O26" s="91"/>
      <c r="P26" s="358">
        <v>16</v>
      </c>
      <c r="Q26" s="358">
        <v>206443</v>
      </c>
      <c r="R26" s="359">
        <v>1206.1600000000001</v>
      </c>
      <c r="S26" s="357" t="s">
        <v>758</v>
      </c>
      <c r="T26" s="357" t="s">
        <v>759</v>
      </c>
      <c r="U26" s="91"/>
      <c r="V26" s="358">
        <v>16</v>
      </c>
      <c r="W26" s="358">
        <v>153292</v>
      </c>
      <c r="X26" s="359">
        <v>926.16</v>
      </c>
      <c r="Y26" s="357" t="s">
        <v>758</v>
      </c>
      <c r="Z26" s="357" t="s">
        <v>759</v>
      </c>
      <c r="AA26" s="91"/>
      <c r="AB26" s="358">
        <v>16</v>
      </c>
      <c r="AC26" s="358">
        <v>171513</v>
      </c>
      <c r="AD26" s="359">
        <v>1307.3599999999999</v>
      </c>
      <c r="AE26" s="357" t="s">
        <v>758</v>
      </c>
      <c r="AF26" s="357" t="s">
        <v>759</v>
      </c>
      <c r="AG26" s="91"/>
      <c r="AH26" s="358">
        <v>16</v>
      </c>
      <c r="AI26" s="358">
        <v>199381</v>
      </c>
      <c r="AJ26" s="359">
        <v>1288.1600000000001</v>
      </c>
      <c r="AK26" s="357" t="s">
        <v>758</v>
      </c>
      <c r="AL26" s="357" t="s">
        <v>759</v>
      </c>
      <c r="AM26" s="91"/>
      <c r="AN26" s="358">
        <v>16</v>
      </c>
      <c r="AO26" s="358">
        <v>3418031</v>
      </c>
      <c r="AP26" s="359">
        <v>1069.92</v>
      </c>
      <c r="AQ26" s="357" t="s">
        <v>758</v>
      </c>
      <c r="AR26" s="357" t="s">
        <v>759</v>
      </c>
      <c r="AS26" s="91"/>
      <c r="AT26" s="358">
        <v>16</v>
      </c>
      <c r="AU26" s="358">
        <v>-3074718</v>
      </c>
      <c r="AV26" s="359">
        <v>1026.24</v>
      </c>
      <c r="AW26" s="357" t="s">
        <v>758</v>
      </c>
      <c r="AX26" s="357" t="s">
        <v>759</v>
      </c>
      <c r="AY26" s="91"/>
      <c r="AZ26" s="358">
        <v>16</v>
      </c>
      <c r="BA26" s="358">
        <v>195433</v>
      </c>
      <c r="BB26" s="359">
        <v>1303.1199999999999</v>
      </c>
      <c r="BC26" s="357" t="s">
        <v>758</v>
      </c>
      <c r="BD26" s="357" t="s">
        <v>759</v>
      </c>
      <c r="BE26" s="91"/>
      <c r="BF26" s="358">
        <v>16</v>
      </c>
      <c r="BG26" s="358">
        <v>191409</v>
      </c>
      <c r="BH26" s="359">
        <v>1185.44</v>
      </c>
      <c r="BI26" s="357" t="s">
        <v>758</v>
      </c>
      <c r="BJ26" s="357" t="s">
        <v>759</v>
      </c>
      <c r="BK26" s="91"/>
      <c r="BL26" s="358">
        <v>10</v>
      </c>
      <c r="BM26" s="358">
        <v>150305</v>
      </c>
      <c r="BN26" s="359">
        <v>724.96</v>
      </c>
      <c r="BO26" s="357" t="s">
        <v>758</v>
      </c>
      <c r="BP26" s="357" t="s">
        <v>759</v>
      </c>
      <c r="BQ26" s="91"/>
      <c r="BR26" s="358">
        <v>10</v>
      </c>
      <c r="BS26" s="358">
        <v>147698</v>
      </c>
      <c r="BT26" s="359">
        <v>627.28</v>
      </c>
    </row>
    <row r="27" spans="1:72">
      <c r="A27" s="357" t="s">
        <v>760</v>
      </c>
      <c r="B27" s="357" t="s">
        <v>761</v>
      </c>
      <c r="C27" s="91"/>
      <c r="D27" s="358">
        <v>8</v>
      </c>
      <c r="E27" s="358">
        <v>17649</v>
      </c>
      <c r="F27" s="359">
        <v>36.799999999999997</v>
      </c>
      <c r="G27" s="357" t="s">
        <v>760</v>
      </c>
      <c r="H27" s="357" t="s">
        <v>761</v>
      </c>
      <c r="I27" s="91"/>
      <c r="J27" s="358">
        <v>8</v>
      </c>
      <c r="K27" s="358">
        <v>11139</v>
      </c>
      <c r="L27" s="359">
        <v>28.8</v>
      </c>
      <c r="M27" s="357" t="s">
        <v>760</v>
      </c>
      <c r="N27" s="357" t="s">
        <v>761</v>
      </c>
      <c r="O27" s="91"/>
      <c r="P27" s="358">
        <v>8</v>
      </c>
      <c r="Q27" s="358">
        <v>9190</v>
      </c>
      <c r="R27" s="359">
        <v>29.6</v>
      </c>
      <c r="S27" s="357" t="s">
        <v>760</v>
      </c>
      <c r="T27" s="357" t="s">
        <v>761</v>
      </c>
      <c r="U27" s="91"/>
      <c r="V27" s="358">
        <v>8</v>
      </c>
      <c r="W27" s="358">
        <v>6612</v>
      </c>
      <c r="X27" s="359">
        <v>26.4</v>
      </c>
      <c r="Y27" s="357" t="s">
        <v>760</v>
      </c>
      <c r="Z27" s="357" t="s">
        <v>761</v>
      </c>
      <c r="AA27" s="91"/>
      <c r="AB27" s="358">
        <v>8</v>
      </c>
      <c r="AC27" s="358">
        <v>6286</v>
      </c>
      <c r="AD27" s="359">
        <v>27.2</v>
      </c>
      <c r="AE27" s="357" t="s">
        <v>760</v>
      </c>
      <c r="AF27" s="357" t="s">
        <v>761</v>
      </c>
      <c r="AG27" s="91"/>
      <c r="AH27" s="358">
        <v>8</v>
      </c>
      <c r="AI27" s="358">
        <v>7927</v>
      </c>
      <c r="AJ27" s="359">
        <v>18.399999999999999</v>
      </c>
      <c r="AK27" s="357" t="s">
        <v>760</v>
      </c>
      <c r="AL27" s="357" t="s">
        <v>761</v>
      </c>
      <c r="AM27" s="91"/>
      <c r="AN27" s="358">
        <v>8</v>
      </c>
      <c r="AO27" s="358">
        <v>8150</v>
      </c>
      <c r="AP27" s="359">
        <v>18.399999999999999</v>
      </c>
      <c r="AQ27" s="357" t="s">
        <v>760</v>
      </c>
      <c r="AR27" s="357" t="s">
        <v>761</v>
      </c>
      <c r="AS27" s="91"/>
      <c r="AT27" s="358">
        <v>8</v>
      </c>
      <c r="AU27" s="358">
        <v>7790</v>
      </c>
      <c r="AV27" s="359">
        <v>18.399999999999999</v>
      </c>
      <c r="AW27" s="357" t="s">
        <v>760</v>
      </c>
      <c r="AX27" s="357" t="s">
        <v>761</v>
      </c>
      <c r="AY27" s="91"/>
      <c r="AZ27" s="358">
        <v>8</v>
      </c>
      <c r="BA27" s="358">
        <v>6820</v>
      </c>
      <c r="BB27" s="359">
        <v>20</v>
      </c>
      <c r="BC27" s="357" t="s">
        <v>760</v>
      </c>
      <c r="BD27" s="357" t="s">
        <v>761</v>
      </c>
      <c r="BE27" s="91"/>
      <c r="BF27" s="358">
        <v>8</v>
      </c>
      <c r="BG27" s="358">
        <v>6117</v>
      </c>
      <c r="BH27" s="359">
        <v>20</v>
      </c>
      <c r="BI27" s="357" t="s">
        <v>760</v>
      </c>
      <c r="BJ27" s="357" t="s">
        <v>761</v>
      </c>
      <c r="BK27" s="91"/>
      <c r="BL27" s="358">
        <v>8</v>
      </c>
      <c r="BM27" s="358">
        <v>7570</v>
      </c>
      <c r="BN27" s="359">
        <v>32.799999999999997</v>
      </c>
      <c r="BO27" s="357" t="s">
        <v>760</v>
      </c>
      <c r="BP27" s="357" t="s">
        <v>761</v>
      </c>
      <c r="BQ27" s="91"/>
      <c r="BR27" s="358">
        <v>8</v>
      </c>
      <c r="BS27" s="358">
        <v>12088</v>
      </c>
      <c r="BT27" s="359">
        <v>42.4</v>
      </c>
    </row>
    <row r="28" spans="1:72">
      <c r="A28" s="360" t="s">
        <v>56</v>
      </c>
      <c r="B28" s="91"/>
      <c r="C28" s="91"/>
      <c r="D28" s="358">
        <v>805</v>
      </c>
      <c r="E28" s="358">
        <v>7312879</v>
      </c>
      <c r="F28" s="359">
        <v>17329.68</v>
      </c>
      <c r="G28" s="360" t="s">
        <v>56</v>
      </c>
      <c r="H28" s="91"/>
      <c r="I28" s="91"/>
      <c r="J28" s="358">
        <v>817</v>
      </c>
      <c r="K28" s="358">
        <v>7312579</v>
      </c>
      <c r="L28" s="359">
        <v>17072.46</v>
      </c>
      <c r="M28" s="360" t="s">
        <v>56</v>
      </c>
      <c r="N28" s="91"/>
      <c r="O28" s="91"/>
      <c r="P28" s="358">
        <v>814</v>
      </c>
      <c r="Q28" s="358">
        <v>6337694</v>
      </c>
      <c r="R28" s="359">
        <v>17100.45</v>
      </c>
      <c r="S28" s="360" t="s">
        <v>56</v>
      </c>
      <c r="T28" s="91"/>
      <c r="U28" s="91"/>
      <c r="V28" s="358">
        <v>814</v>
      </c>
      <c r="W28" s="358">
        <v>6197120</v>
      </c>
      <c r="X28" s="359">
        <v>16157.61</v>
      </c>
      <c r="Y28" s="360" t="s">
        <v>56</v>
      </c>
      <c r="Z28" s="91"/>
      <c r="AA28" s="91"/>
      <c r="AB28" s="358">
        <v>816</v>
      </c>
      <c r="AC28" s="358">
        <v>6183521</v>
      </c>
      <c r="AD28" s="359">
        <v>16936.689999999999</v>
      </c>
      <c r="AE28" s="360" t="s">
        <v>56</v>
      </c>
      <c r="AF28" s="91"/>
      <c r="AG28" s="91"/>
      <c r="AH28" s="358">
        <v>819</v>
      </c>
      <c r="AI28" s="358">
        <v>6695666</v>
      </c>
      <c r="AJ28" s="359">
        <v>16941.91</v>
      </c>
      <c r="AK28" s="360" t="s">
        <v>56</v>
      </c>
      <c r="AL28" s="91"/>
      <c r="AM28" s="91"/>
      <c r="AN28" s="358">
        <v>815</v>
      </c>
      <c r="AO28" s="358">
        <v>10438388</v>
      </c>
      <c r="AP28" s="359">
        <v>17458.41</v>
      </c>
      <c r="AQ28" s="360" t="s">
        <v>56</v>
      </c>
      <c r="AR28" s="91"/>
      <c r="AS28" s="91"/>
      <c r="AT28" s="358">
        <v>828</v>
      </c>
      <c r="AU28" s="358">
        <v>4044654</v>
      </c>
      <c r="AV28" s="359">
        <v>18029.18</v>
      </c>
      <c r="AW28" s="360" t="s">
        <v>56</v>
      </c>
      <c r="AX28" s="91"/>
      <c r="AY28" s="91"/>
      <c r="AZ28" s="358">
        <v>825</v>
      </c>
      <c r="BA28" s="358">
        <v>7020777</v>
      </c>
      <c r="BB28" s="359">
        <v>17458.91</v>
      </c>
      <c r="BC28" s="360" t="s">
        <v>56</v>
      </c>
      <c r="BD28" s="91"/>
      <c r="BE28" s="91"/>
      <c r="BF28" s="358">
        <v>821</v>
      </c>
      <c r="BG28" s="358">
        <v>6455686</v>
      </c>
      <c r="BH28" s="359">
        <v>17128.490000000002</v>
      </c>
      <c r="BI28" s="360" t="s">
        <v>56</v>
      </c>
      <c r="BJ28" s="91"/>
      <c r="BK28" s="91"/>
      <c r="BL28" s="358">
        <v>820</v>
      </c>
      <c r="BM28" s="358">
        <v>6206690</v>
      </c>
      <c r="BN28" s="359">
        <v>16103.19</v>
      </c>
      <c r="BO28" s="360" t="s">
        <v>56</v>
      </c>
      <c r="BP28" s="91"/>
      <c r="BQ28" s="91"/>
      <c r="BR28" s="358">
        <v>824</v>
      </c>
      <c r="BS28" s="358">
        <v>6579478</v>
      </c>
      <c r="BT28" s="359">
        <v>17010.47</v>
      </c>
    </row>
    <row r="29" spans="1:72">
      <c r="A29" s="91"/>
      <c r="B29" s="91"/>
      <c r="C29" s="91"/>
      <c r="D29" s="91"/>
      <c r="E29" s="343">
        <f>E28-E23</f>
        <v>6237219</v>
      </c>
      <c r="F29" s="91"/>
      <c r="G29" s="91"/>
      <c r="H29" s="91"/>
      <c r="I29" s="91"/>
      <c r="J29" s="91"/>
      <c r="K29" s="343">
        <f>K28-K23</f>
        <v>6174339</v>
      </c>
      <c r="L29" s="91"/>
      <c r="M29" s="91"/>
      <c r="N29" s="91"/>
      <c r="O29" s="91"/>
      <c r="P29" s="91"/>
      <c r="Q29" s="343">
        <f>Q28-Q23</f>
        <v>5284354</v>
      </c>
      <c r="R29" s="91"/>
      <c r="S29" s="91"/>
      <c r="T29" s="91"/>
      <c r="U29" s="91"/>
      <c r="V29" s="91"/>
      <c r="W29" s="343">
        <f>W28-W23</f>
        <v>5103180</v>
      </c>
      <c r="X29" s="91"/>
      <c r="Y29" s="91"/>
      <c r="Z29" s="91"/>
      <c r="AA29" s="91"/>
      <c r="AB29" s="91"/>
      <c r="AC29" s="343">
        <f>AC28-AC23</f>
        <v>5092901</v>
      </c>
      <c r="AD29" s="91"/>
      <c r="AE29" s="91"/>
      <c r="AF29" s="91"/>
      <c r="AG29" s="91"/>
      <c r="AH29" s="91"/>
      <c r="AI29" s="343">
        <f>AI28-AI23</f>
        <v>5471246</v>
      </c>
      <c r="AJ29" s="91"/>
      <c r="AK29" s="91"/>
      <c r="AL29" s="91"/>
      <c r="AM29" s="91"/>
      <c r="AN29" s="91"/>
      <c r="AO29" s="343">
        <f>AO28-AO23</f>
        <v>9092228</v>
      </c>
      <c r="AP29" s="91"/>
      <c r="AQ29" s="91"/>
      <c r="AR29" s="91"/>
      <c r="AS29" s="91"/>
      <c r="AT29" s="91"/>
      <c r="AU29" s="343">
        <f>AU28-AU23</f>
        <v>2741654</v>
      </c>
      <c r="AV29" s="91"/>
      <c r="AW29" s="91"/>
      <c r="AX29" s="91"/>
      <c r="AY29" s="91"/>
      <c r="AZ29" s="91"/>
      <c r="BA29" s="343">
        <f>BA28-BA23</f>
        <v>5724837</v>
      </c>
      <c r="BB29" s="91"/>
      <c r="BC29" s="91"/>
      <c r="BD29" s="91"/>
      <c r="BE29" s="91"/>
      <c r="BF29" s="91"/>
      <c r="BG29" s="343">
        <f>BG28-BG23</f>
        <v>5214326</v>
      </c>
      <c r="BH29" s="91"/>
      <c r="BI29" s="91"/>
      <c r="BJ29" s="91"/>
      <c r="BK29" s="91"/>
      <c r="BL29" s="91"/>
      <c r="BM29" s="343">
        <f>BM28-BM23</f>
        <v>5093690</v>
      </c>
      <c r="BN29" s="91"/>
      <c r="BO29" s="91"/>
      <c r="BP29" s="91"/>
      <c r="BQ29" s="91"/>
      <c r="BR29" s="91"/>
      <c r="BS29" s="343">
        <f>BS28-BS23</f>
        <v>5418098</v>
      </c>
      <c r="BT29" s="91"/>
    </row>
    <row r="30" spans="1:72">
      <c r="A30" s="357" t="s">
        <v>762</v>
      </c>
      <c r="B30" s="357" t="s">
        <v>763</v>
      </c>
      <c r="C30" s="91"/>
      <c r="D30" s="358">
        <v>1</v>
      </c>
      <c r="E30" s="358">
        <v>58248.82</v>
      </c>
      <c r="F30" s="359">
        <v>0</v>
      </c>
      <c r="G30" s="357" t="s">
        <v>762</v>
      </c>
      <c r="H30" s="357" t="s">
        <v>763</v>
      </c>
      <c r="I30" s="91"/>
      <c r="J30" s="358">
        <v>1</v>
      </c>
      <c r="K30" s="358">
        <v>49210.22</v>
      </c>
      <c r="L30" s="359">
        <v>0</v>
      </c>
      <c r="M30" s="357" t="s">
        <v>762</v>
      </c>
      <c r="N30" s="357" t="s">
        <v>763</v>
      </c>
      <c r="O30" s="91"/>
      <c r="P30" s="358">
        <v>1</v>
      </c>
      <c r="Q30" s="358">
        <v>49364</v>
      </c>
      <c r="R30" s="359">
        <v>0</v>
      </c>
      <c r="S30" s="357" t="s">
        <v>762</v>
      </c>
      <c r="T30" s="357" t="s">
        <v>763</v>
      </c>
      <c r="U30" s="91"/>
      <c r="V30" s="358">
        <v>1</v>
      </c>
      <c r="W30" s="358">
        <v>42619.51</v>
      </c>
      <c r="X30" s="359">
        <v>0</v>
      </c>
      <c r="Y30" s="357" t="s">
        <v>762</v>
      </c>
      <c r="Z30" s="357" t="s">
        <v>763</v>
      </c>
      <c r="AA30" s="91"/>
      <c r="AB30" s="358">
        <v>1</v>
      </c>
      <c r="AC30" s="358">
        <v>38888.51</v>
      </c>
      <c r="AD30" s="359">
        <v>0</v>
      </c>
      <c r="AE30" s="357" t="s">
        <v>762</v>
      </c>
      <c r="AF30" s="357" t="s">
        <v>763</v>
      </c>
      <c r="AG30" s="91"/>
      <c r="AH30" s="358">
        <v>1</v>
      </c>
      <c r="AI30" s="358">
        <v>35014</v>
      </c>
      <c r="AJ30" s="359">
        <v>0</v>
      </c>
      <c r="AK30" s="357" t="s">
        <v>762</v>
      </c>
      <c r="AL30" s="357" t="s">
        <v>763</v>
      </c>
      <c r="AM30" s="91"/>
      <c r="AN30" s="358">
        <v>1</v>
      </c>
      <c r="AO30" s="358">
        <v>37244.71</v>
      </c>
      <c r="AP30" s="359">
        <v>0</v>
      </c>
      <c r="AQ30" s="357" t="s">
        <v>762</v>
      </c>
      <c r="AR30" s="357" t="s">
        <v>763</v>
      </c>
      <c r="AS30" s="91"/>
      <c r="AT30" s="358">
        <v>1</v>
      </c>
      <c r="AU30" s="358">
        <v>42267.76</v>
      </c>
      <c r="AV30" s="359">
        <v>0</v>
      </c>
      <c r="AW30" s="357" t="s">
        <v>762</v>
      </c>
      <c r="AX30" s="357" t="s">
        <v>763</v>
      </c>
      <c r="AY30" s="91"/>
      <c r="AZ30" s="358">
        <v>1</v>
      </c>
      <c r="BA30" s="358">
        <v>46189.5</v>
      </c>
      <c r="BB30" s="359">
        <v>0</v>
      </c>
      <c r="BC30" s="357" t="s">
        <v>762</v>
      </c>
      <c r="BD30" s="357" t="s">
        <v>763</v>
      </c>
      <c r="BE30" s="91"/>
      <c r="BF30" s="358">
        <v>1</v>
      </c>
      <c r="BG30" s="358">
        <v>53161.5</v>
      </c>
      <c r="BH30" s="359">
        <v>0</v>
      </c>
      <c r="BI30" s="357" t="s">
        <v>762</v>
      </c>
      <c r="BJ30" s="357" t="s">
        <v>763</v>
      </c>
      <c r="BK30" s="91"/>
      <c r="BL30" s="358">
        <v>1</v>
      </c>
      <c r="BM30" s="358">
        <v>55624.81</v>
      </c>
      <c r="BN30" s="359">
        <v>0</v>
      </c>
      <c r="BO30" s="357" t="s">
        <v>762</v>
      </c>
      <c r="BP30" s="357" t="s">
        <v>763</v>
      </c>
      <c r="BQ30" s="91"/>
      <c r="BR30" s="358">
        <v>1</v>
      </c>
      <c r="BS30" s="358">
        <v>59814.720000000001</v>
      </c>
      <c r="BT30" s="359">
        <v>0</v>
      </c>
    </row>
    <row r="31" spans="1:72">
      <c r="A31" s="360" t="s">
        <v>604</v>
      </c>
      <c r="B31" s="91"/>
      <c r="C31" s="91"/>
      <c r="D31" s="358">
        <v>1</v>
      </c>
      <c r="E31" s="358">
        <v>58248.82</v>
      </c>
      <c r="F31" s="359">
        <v>0</v>
      </c>
      <c r="G31" s="360" t="s">
        <v>604</v>
      </c>
      <c r="H31" s="91"/>
      <c r="I31" s="91"/>
      <c r="J31" s="358">
        <v>1</v>
      </c>
      <c r="K31" s="358">
        <v>49210.22</v>
      </c>
      <c r="L31" s="359">
        <v>0</v>
      </c>
      <c r="M31" s="360" t="s">
        <v>604</v>
      </c>
      <c r="N31" s="91"/>
      <c r="O31" s="91"/>
      <c r="P31" s="358">
        <v>1</v>
      </c>
      <c r="Q31" s="358">
        <v>49364</v>
      </c>
      <c r="R31" s="359">
        <v>0</v>
      </c>
      <c r="S31" s="360" t="s">
        <v>604</v>
      </c>
      <c r="T31" s="91"/>
      <c r="U31" s="91"/>
      <c r="V31" s="358">
        <v>1</v>
      </c>
      <c r="W31" s="358">
        <v>42619.51</v>
      </c>
      <c r="X31" s="359">
        <v>0</v>
      </c>
      <c r="Y31" s="360" t="s">
        <v>604</v>
      </c>
      <c r="Z31" s="91"/>
      <c r="AA31" s="91"/>
      <c r="AB31" s="358">
        <v>1</v>
      </c>
      <c r="AC31" s="358">
        <v>38888.51</v>
      </c>
      <c r="AD31" s="359">
        <v>0</v>
      </c>
      <c r="AE31" s="360" t="s">
        <v>604</v>
      </c>
      <c r="AF31" s="91"/>
      <c r="AG31" s="91"/>
      <c r="AH31" s="358">
        <v>1</v>
      </c>
      <c r="AI31" s="358">
        <v>35014</v>
      </c>
      <c r="AJ31" s="359">
        <v>0</v>
      </c>
      <c r="AK31" s="360" t="s">
        <v>604</v>
      </c>
      <c r="AL31" s="91"/>
      <c r="AM31" s="91"/>
      <c r="AN31" s="358">
        <v>1</v>
      </c>
      <c r="AO31" s="358">
        <v>37244.71</v>
      </c>
      <c r="AP31" s="359">
        <v>0</v>
      </c>
      <c r="AQ31" s="360" t="s">
        <v>604</v>
      </c>
      <c r="AR31" s="91"/>
      <c r="AS31" s="91"/>
      <c r="AT31" s="358">
        <v>1</v>
      </c>
      <c r="AU31" s="358">
        <v>42267.76</v>
      </c>
      <c r="AV31" s="359">
        <v>0</v>
      </c>
      <c r="AW31" s="360" t="s">
        <v>604</v>
      </c>
      <c r="AX31" s="91"/>
      <c r="AY31" s="91"/>
      <c r="AZ31" s="358">
        <v>1</v>
      </c>
      <c r="BA31" s="358">
        <v>46189.5</v>
      </c>
      <c r="BB31" s="359">
        <v>0</v>
      </c>
      <c r="BC31" s="360" t="s">
        <v>604</v>
      </c>
      <c r="BD31" s="91"/>
      <c r="BE31" s="91"/>
      <c r="BF31" s="358">
        <v>1</v>
      </c>
      <c r="BG31" s="358">
        <v>53161.5</v>
      </c>
      <c r="BH31" s="359">
        <v>0</v>
      </c>
      <c r="BI31" s="360" t="s">
        <v>604</v>
      </c>
      <c r="BJ31" s="91"/>
      <c r="BK31" s="91"/>
      <c r="BL31" s="358">
        <v>1</v>
      </c>
      <c r="BM31" s="358">
        <v>55624.81</v>
      </c>
      <c r="BN31" s="359">
        <v>0</v>
      </c>
      <c r="BO31" s="360" t="s">
        <v>604</v>
      </c>
      <c r="BP31" s="91"/>
      <c r="BQ31" s="91"/>
      <c r="BR31" s="358">
        <v>1</v>
      </c>
      <c r="BS31" s="358">
        <v>59814.720000000001</v>
      </c>
      <c r="BT31" s="359">
        <v>0</v>
      </c>
    </row>
    <row r="32" spans="1:72">
      <c r="A32" s="91"/>
      <c r="B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row>
    <row r="33" spans="1:72">
      <c r="A33" s="357" t="s">
        <v>764</v>
      </c>
      <c r="B33" s="357" t="s">
        <v>765</v>
      </c>
      <c r="C33" s="91"/>
      <c r="D33" s="358">
        <v>38</v>
      </c>
      <c r="E33" s="358">
        <v>112878</v>
      </c>
      <c r="F33" s="359">
        <v>0</v>
      </c>
      <c r="G33" s="357" t="s">
        <v>764</v>
      </c>
      <c r="H33" s="357" t="s">
        <v>765</v>
      </c>
      <c r="I33" s="91"/>
      <c r="J33" s="358">
        <v>38</v>
      </c>
      <c r="K33" s="358">
        <v>115420</v>
      </c>
      <c r="L33" s="359">
        <v>0</v>
      </c>
      <c r="M33" s="357" t="s">
        <v>764</v>
      </c>
      <c r="N33" s="357" t="s">
        <v>765</v>
      </c>
      <c r="O33" s="91"/>
      <c r="P33" s="358">
        <v>38</v>
      </c>
      <c r="Q33" s="358">
        <v>104314</v>
      </c>
      <c r="R33" s="359">
        <v>0</v>
      </c>
      <c r="S33" s="357" t="s">
        <v>764</v>
      </c>
      <c r="T33" s="357" t="s">
        <v>765</v>
      </c>
      <c r="U33" s="91"/>
      <c r="V33" s="358">
        <v>38</v>
      </c>
      <c r="W33" s="358">
        <v>58263</v>
      </c>
      <c r="X33" s="359">
        <v>0</v>
      </c>
      <c r="Y33" s="357" t="s">
        <v>764</v>
      </c>
      <c r="Z33" s="357" t="s">
        <v>765</v>
      </c>
      <c r="AA33" s="91"/>
      <c r="AB33" s="358">
        <v>37</v>
      </c>
      <c r="AC33" s="358">
        <v>37840</v>
      </c>
      <c r="AD33" s="359">
        <v>0</v>
      </c>
      <c r="AE33" s="357" t="s">
        <v>764</v>
      </c>
      <c r="AF33" s="357" t="s">
        <v>765</v>
      </c>
      <c r="AG33" s="91"/>
      <c r="AH33" s="358">
        <v>38</v>
      </c>
      <c r="AI33" s="358">
        <v>42173</v>
      </c>
      <c r="AJ33" s="359">
        <v>0</v>
      </c>
      <c r="AK33" s="357" t="s">
        <v>764</v>
      </c>
      <c r="AL33" s="357" t="s">
        <v>765</v>
      </c>
      <c r="AM33" s="91"/>
      <c r="AN33" s="358">
        <v>38</v>
      </c>
      <c r="AO33" s="358">
        <v>51742</v>
      </c>
      <c r="AP33" s="359">
        <v>0</v>
      </c>
      <c r="AQ33" s="357" t="s">
        <v>764</v>
      </c>
      <c r="AR33" s="357" t="s">
        <v>765</v>
      </c>
      <c r="AS33" s="91"/>
      <c r="AT33" s="358">
        <v>37</v>
      </c>
      <c r="AU33" s="358">
        <v>53473</v>
      </c>
      <c r="AV33" s="359">
        <v>0</v>
      </c>
      <c r="AW33" s="357" t="s">
        <v>764</v>
      </c>
      <c r="AX33" s="357" t="s">
        <v>765</v>
      </c>
      <c r="AY33" s="91"/>
      <c r="AZ33" s="358">
        <v>37</v>
      </c>
      <c r="BA33" s="358">
        <v>51456</v>
      </c>
      <c r="BB33" s="359">
        <v>0</v>
      </c>
      <c r="BC33" s="357" t="s">
        <v>764</v>
      </c>
      <c r="BD33" s="357" t="s">
        <v>765</v>
      </c>
      <c r="BE33" s="91"/>
      <c r="BF33" s="358">
        <v>37</v>
      </c>
      <c r="BG33" s="358">
        <v>40160</v>
      </c>
      <c r="BH33" s="359">
        <v>0</v>
      </c>
      <c r="BI33" s="357" t="s">
        <v>764</v>
      </c>
      <c r="BJ33" s="357" t="s">
        <v>765</v>
      </c>
      <c r="BK33" s="91"/>
      <c r="BL33" s="358">
        <v>37</v>
      </c>
      <c r="BM33" s="358">
        <v>43020</v>
      </c>
      <c r="BN33" s="359">
        <v>0</v>
      </c>
      <c r="BO33" s="357" t="s">
        <v>764</v>
      </c>
      <c r="BP33" s="357" t="s">
        <v>765</v>
      </c>
      <c r="BQ33" s="91"/>
      <c r="BR33" s="358">
        <v>37</v>
      </c>
      <c r="BS33" s="358">
        <v>74485</v>
      </c>
      <c r="BT33" s="359">
        <v>0</v>
      </c>
    </row>
    <row r="34" spans="1:72">
      <c r="A34" s="360" t="s">
        <v>766</v>
      </c>
      <c r="B34" s="91"/>
      <c r="C34" s="91"/>
      <c r="D34" s="358">
        <v>38</v>
      </c>
      <c r="E34" s="358">
        <v>112878</v>
      </c>
      <c r="F34" s="359">
        <v>0</v>
      </c>
      <c r="G34" s="360" t="s">
        <v>766</v>
      </c>
      <c r="H34" s="91"/>
      <c r="I34" s="91"/>
      <c r="J34" s="358">
        <v>38</v>
      </c>
      <c r="K34" s="358">
        <v>115420</v>
      </c>
      <c r="L34" s="359">
        <v>0</v>
      </c>
      <c r="M34" s="360" t="s">
        <v>766</v>
      </c>
      <c r="N34" s="91"/>
      <c r="O34" s="91"/>
      <c r="P34" s="358">
        <v>38</v>
      </c>
      <c r="Q34" s="358">
        <v>104314</v>
      </c>
      <c r="R34" s="359">
        <v>0</v>
      </c>
      <c r="S34" s="360" t="s">
        <v>766</v>
      </c>
      <c r="T34" s="91"/>
      <c r="U34" s="91"/>
      <c r="V34" s="358">
        <v>38</v>
      </c>
      <c r="W34" s="358">
        <v>58263</v>
      </c>
      <c r="X34" s="359">
        <v>0</v>
      </c>
      <c r="Y34" s="360" t="s">
        <v>766</v>
      </c>
      <c r="Z34" s="91"/>
      <c r="AA34" s="91"/>
      <c r="AB34" s="358">
        <v>37</v>
      </c>
      <c r="AC34" s="358">
        <v>37840</v>
      </c>
      <c r="AD34" s="359">
        <v>0</v>
      </c>
      <c r="AE34" s="360" t="s">
        <v>766</v>
      </c>
      <c r="AF34" s="91"/>
      <c r="AG34" s="91"/>
      <c r="AH34" s="358">
        <v>38</v>
      </c>
      <c r="AI34" s="358">
        <v>42173</v>
      </c>
      <c r="AJ34" s="359">
        <v>0</v>
      </c>
      <c r="AK34" s="360" t="s">
        <v>766</v>
      </c>
      <c r="AL34" s="91"/>
      <c r="AM34" s="91"/>
      <c r="AN34" s="358">
        <v>38</v>
      </c>
      <c r="AO34" s="358">
        <v>51742</v>
      </c>
      <c r="AP34" s="359">
        <v>0</v>
      </c>
      <c r="AQ34" s="360" t="s">
        <v>766</v>
      </c>
      <c r="AR34" s="91"/>
      <c r="AS34" s="91"/>
      <c r="AT34" s="358">
        <v>37</v>
      </c>
      <c r="AU34" s="358">
        <v>53473</v>
      </c>
      <c r="AV34" s="359">
        <v>0</v>
      </c>
      <c r="AW34" s="360" t="s">
        <v>766</v>
      </c>
      <c r="AX34" s="91"/>
      <c r="AY34" s="91"/>
      <c r="AZ34" s="358">
        <v>37</v>
      </c>
      <c r="BA34" s="358">
        <v>51456</v>
      </c>
      <c r="BB34" s="359">
        <v>0</v>
      </c>
      <c r="BC34" s="360" t="s">
        <v>766</v>
      </c>
      <c r="BD34" s="91"/>
      <c r="BE34" s="91"/>
      <c r="BF34" s="358">
        <v>37</v>
      </c>
      <c r="BG34" s="358">
        <v>40160</v>
      </c>
      <c r="BH34" s="359">
        <v>0</v>
      </c>
      <c r="BI34" s="360" t="s">
        <v>766</v>
      </c>
      <c r="BJ34" s="91"/>
      <c r="BK34" s="91"/>
      <c r="BL34" s="358">
        <v>37</v>
      </c>
      <c r="BM34" s="358">
        <v>43020</v>
      </c>
      <c r="BN34" s="359">
        <v>0</v>
      </c>
      <c r="BO34" s="360" t="s">
        <v>766</v>
      </c>
      <c r="BP34" s="91"/>
      <c r="BQ34" s="91"/>
      <c r="BR34" s="358">
        <v>37</v>
      </c>
      <c r="BS34" s="358">
        <v>74485</v>
      </c>
      <c r="BT34" s="359">
        <v>0</v>
      </c>
    </row>
    <row r="35" spans="1:72">
      <c r="A35" s="91"/>
      <c r="B35" s="91"/>
      <c r="C35" s="91"/>
      <c r="D35" s="91"/>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row>
    <row r="36" spans="1:72">
      <c r="A36" s="357" t="s">
        <v>767</v>
      </c>
      <c r="B36" s="357" t="s">
        <v>768</v>
      </c>
      <c r="C36" s="91"/>
      <c r="D36" s="358">
        <v>5021</v>
      </c>
      <c r="E36" s="358">
        <v>6958574</v>
      </c>
      <c r="F36" s="359">
        <v>666.44</v>
      </c>
      <c r="G36" s="357" t="s">
        <v>767</v>
      </c>
      <c r="H36" s="357" t="s">
        <v>768</v>
      </c>
      <c r="I36" s="91"/>
      <c r="J36" s="358">
        <v>4998</v>
      </c>
      <c r="K36" s="358">
        <v>7071870</v>
      </c>
      <c r="L36" s="359">
        <v>643.74</v>
      </c>
      <c r="M36" s="357" t="s">
        <v>767</v>
      </c>
      <c r="N36" s="357" t="s">
        <v>768</v>
      </c>
      <c r="O36" s="91"/>
      <c r="P36" s="358">
        <v>4990</v>
      </c>
      <c r="Q36" s="358">
        <v>6971928</v>
      </c>
      <c r="R36" s="359">
        <v>622.30999999999995</v>
      </c>
      <c r="S36" s="357" t="s">
        <v>767</v>
      </c>
      <c r="T36" s="357" t="s">
        <v>768</v>
      </c>
      <c r="U36" s="91"/>
      <c r="V36" s="358">
        <v>4998</v>
      </c>
      <c r="W36" s="358">
        <v>4112800</v>
      </c>
      <c r="X36" s="359">
        <v>602.34</v>
      </c>
      <c r="Y36" s="357" t="s">
        <v>767</v>
      </c>
      <c r="Z36" s="357" t="s">
        <v>768</v>
      </c>
      <c r="AA36" s="91"/>
      <c r="AB36" s="358">
        <v>5085</v>
      </c>
      <c r="AC36" s="358">
        <v>3568248</v>
      </c>
      <c r="AD36" s="359">
        <v>568.86</v>
      </c>
      <c r="AE36" s="357" t="s">
        <v>767</v>
      </c>
      <c r="AF36" s="357" t="s">
        <v>768</v>
      </c>
      <c r="AG36" s="91"/>
      <c r="AH36" s="358">
        <v>5225</v>
      </c>
      <c r="AI36" s="358">
        <v>3363736</v>
      </c>
      <c r="AJ36" s="359">
        <v>505.69</v>
      </c>
      <c r="AK36" s="357" t="s">
        <v>767</v>
      </c>
      <c r="AL36" s="357" t="s">
        <v>768</v>
      </c>
      <c r="AM36" s="91"/>
      <c r="AN36" s="358">
        <v>5514</v>
      </c>
      <c r="AO36" s="358">
        <v>3958843</v>
      </c>
      <c r="AP36" s="359">
        <v>552.26</v>
      </c>
      <c r="AQ36" s="357" t="s">
        <v>767</v>
      </c>
      <c r="AR36" s="357" t="s">
        <v>768</v>
      </c>
      <c r="AS36" s="91"/>
      <c r="AT36" s="358">
        <v>5961</v>
      </c>
      <c r="AU36" s="358">
        <v>4108617</v>
      </c>
      <c r="AV36" s="359">
        <v>568.98</v>
      </c>
      <c r="AW36" s="357" t="s">
        <v>767</v>
      </c>
      <c r="AX36" s="357" t="s">
        <v>768</v>
      </c>
      <c r="AY36" s="91"/>
      <c r="AZ36" s="358">
        <v>5021</v>
      </c>
      <c r="BA36" s="358">
        <v>4156824</v>
      </c>
      <c r="BB36" s="359">
        <v>609.6</v>
      </c>
      <c r="BC36" s="357" t="s">
        <v>767</v>
      </c>
      <c r="BD36" s="357" t="s">
        <v>768</v>
      </c>
      <c r="BE36" s="91"/>
      <c r="BF36" s="358">
        <v>4996</v>
      </c>
      <c r="BG36" s="358">
        <v>3567955</v>
      </c>
      <c r="BH36" s="359">
        <v>514.92999999999995</v>
      </c>
      <c r="BI36" s="357" t="s">
        <v>767</v>
      </c>
      <c r="BJ36" s="357" t="s">
        <v>768</v>
      </c>
      <c r="BK36" s="91"/>
      <c r="BL36" s="358">
        <v>5005</v>
      </c>
      <c r="BM36" s="358">
        <v>3815157</v>
      </c>
      <c r="BN36" s="359">
        <v>536.16</v>
      </c>
      <c r="BO36" s="357" t="s">
        <v>767</v>
      </c>
      <c r="BP36" s="357" t="s">
        <v>768</v>
      </c>
      <c r="BQ36" s="91"/>
      <c r="BR36" s="358">
        <v>4995</v>
      </c>
      <c r="BS36" s="358">
        <v>5520097</v>
      </c>
      <c r="BT36" s="359">
        <v>623.87</v>
      </c>
    </row>
    <row r="37" spans="1:72">
      <c r="A37" s="360" t="s">
        <v>769</v>
      </c>
      <c r="B37" s="91"/>
      <c r="C37" s="91"/>
      <c r="D37" s="358">
        <v>5021</v>
      </c>
      <c r="E37" s="358">
        <v>6958574</v>
      </c>
      <c r="F37" s="359">
        <v>666.44</v>
      </c>
      <c r="G37" s="360" t="s">
        <v>769</v>
      </c>
      <c r="H37" s="91"/>
      <c r="I37" s="91"/>
      <c r="J37" s="358">
        <v>4998</v>
      </c>
      <c r="K37" s="358">
        <v>7071870</v>
      </c>
      <c r="L37" s="359">
        <v>643.74</v>
      </c>
      <c r="M37" s="360" t="s">
        <v>769</v>
      </c>
      <c r="N37" s="91"/>
      <c r="O37" s="91"/>
      <c r="P37" s="358">
        <v>4990</v>
      </c>
      <c r="Q37" s="358">
        <v>6971928</v>
      </c>
      <c r="R37" s="359">
        <v>622.30999999999995</v>
      </c>
      <c r="S37" s="360" t="s">
        <v>769</v>
      </c>
      <c r="T37" s="91"/>
      <c r="U37" s="91"/>
      <c r="V37" s="358">
        <v>4998</v>
      </c>
      <c r="W37" s="358">
        <v>4112800</v>
      </c>
      <c r="X37" s="359">
        <v>602.34</v>
      </c>
      <c r="Y37" s="360" t="s">
        <v>769</v>
      </c>
      <c r="Z37" s="91"/>
      <c r="AA37" s="91"/>
      <c r="AB37" s="358">
        <v>5085</v>
      </c>
      <c r="AC37" s="358">
        <v>3568248</v>
      </c>
      <c r="AD37" s="359">
        <v>568.86</v>
      </c>
      <c r="AE37" s="360" t="s">
        <v>769</v>
      </c>
      <c r="AF37" s="91"/>
      <c r="AG37" s="91"/>
      <c r="AH37" s="358">
        <v>5225</v>
      </c>
      <c r="AI37" s="358">
        <v>3363736</v>
      </c>
      <c r="AJ37" s="359">
        <v>505.69</v>
      </c>
      <c r="AK37" s="360" t="s">
        <v>769</v>
      </c>
      <c r="AL37" s="91"/>
      <c r="AM37" s="91"/>
      <c r="AN37" s="358">
        <v>5514</v>
      </c>
      <c r="AO37" s="358">
        <v>3958843</v>
      </c>
      <c r="AP37" s="359">
        <v>552.26</v>
      </c>
      <c r="AQ37" s="360" t="s">
        <v>769</v>
      </c>
      <c r="AR37" s="91"/>
      <c r="AS37" s="91"/>
      <c r="AT37" s="358">
        <v>5961</v>
      </c>
      <c r="AU37" s="358">
        <v>4108617</v>
      </c>
      <c r="AV37" s="359">
        <v>568.98</v>
      </c>
      <c r="AW37" s="360" t="s">
        <v>769</v>
      </c>
      <c r="AX37" s="91"/>
      <c r="AY37" s="91"/>
      <c r="AZ37" s="358">
        <v>5021</v>
      </c>
      <c r="BA37" s="358">
        <v>4156824</v>
      </c>
      <c r="BB37" s="359">
        <v>609.6</v>
      </c>
      <c r="BC37" s="360" t="s">
        <v>769</v>
      </c>
      <c r="BD37" s="91"/>
      <c r="BE37" s="91"/>
      <c r="BF37" s="358">
        <v>4996</v>
      </c>
      <c r="BG37" s="358">
        <v>3567955</v>
      </c>
      <c r="BH37" s="359">
        <v>514.92999999999995</v>
      </c>
      <c r="BI37" s="360" t="s">
        <v>769</v>
      </c>
      <c r="BJ37" s="91"/>
      <c r="BK37" s="91"/>
      <c r="BL37" s="358">
        <v>5005</v>
      </c>
      <c r="BM37" s="358">
        <v>3815157</v>
      </c>
      <c r="BN37" s="359">
        <v>536.16</v>
      </c>
      <c r="BO37" s="360" t="s">
        <v>769</v>
      </c>
      <c r="BP37" s="91"/>
      <c r="BQ37" s="91"/>
      <c r="BR37" s="358">
        <v>4995</v>
      </c>
      <c r="BS37" s="358">
        <v>5520097</v>
      </c>
      <c r="BT37" s="359">
        <v>623.87</v>
      </c>
    </row>
    <row r="38" spans="1:72">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row>
    <row r="39" spans="1:72">
      <c r="A39" s="361" t="s">
        <v>770</v>
      </c>
      <c r="B39" s="91"/>
      <c r="C39" s="91"/>
      <c r="D39" s="358">
        <v>6191</v>
      </c>
      <c r="E39" s="358">
        <v>29500015.82</v>
      </c>
      <c r="F39" s="362">
        <v>52339.86</v>
      </c>
      <c r="G39" s="361" t="s">
        <v>770</v>
      </c>
      <c r="H39" s="91"/>
      <c r="I39" s="91"/>
      <c r="J39" s="358">
        <v>6181</v>
      </c>
      <c r="K39" s="358">
        <v>31451664.219999999</v>
      </c>
      <c r="L39" s="362">
        <v>54167.91</v>
      </c>
      <c r="M39" s="361" t="s">
        <v>770</v>
      </c>
      <c r="N39" s="91"/>
      <c r="O39" s="91"/>
      <c r="P39" s="358">
        <v>6170</v>
      </c>
      <c r="Q39" s="358">
        <v>28009795</v>
      </c>
      <c r="R39" s="362">
        <v>54322.76</v>
      </c>
      <c r="S39" s="361" t="s">
        <v>770</v>
      </c>
      <c r="T39" s="91"/>
      <c r="U39" s="91"/>
      <c r="V39" s="358">
        <v>6179</v>
      </c>
      <c r="W39" s="358">
        <v>27037410.510000002</v>
      </c>
      <c r="X39" s="362">
        <v>57932.9</v>
      </c>
      <c r="Y39" s="361" t="s">
        <v>770</v>
      </c>
      <c r="Z39" s="91"/>
      <c r="AA39" s="91"/>
      <c r="AB39" s="358">
        <v>6266</v>
      </c>
      <c r="AC39" s="358">
        <v>27372626.510000002</v>
      </c>
      <c r="AD39" s="362">
        <v>59572.160000000003</v>
      </c>
      <c r="AE39" s="361" t="s">
        <v>770</v>
      </c>
      <c r="AF39" s="91"/>
      <c r="AG39" s="91"/>
      <c r="AH39" s="358">
        <v>6407</v>
      </c>
      <c r="AI39" s="358">
        <v>28913134</v>
      </c>
      <c r="AJ39" s="362">
        <v>57275.79</v>
      </c>
      <c r="AK39" s="361" t="s">
        <v>770</v>
      </c>
      <c r="AL39" s="91"/>
      <c r="AM39" s="91"/>
      <c r="AN39" s="358">
        <v>6694</v>
      </c>
      <c r="AO39" s="358">
        <v>30895486.710000001</v>
      </c>
      <c r="AP39" s="362">
        <v>58722.26</v>
      </c>
      <c r="AQ39" s="361" t="s">
        <v>770</v>
      </c>
      <c r="AR39" s="91"/>
      <c r="AS39" s="91"/>
      <c r="AT39" s="358">
        <v>7151</v>
      </c>
      <c r="AU39" s="358">
        <v>26587815.760000002</v>
      </c>
      <c r="AV39" s="362">
        <v>61875.19</v>
      </c>
      <c r="AW39" s="361" t="s">
        <v>770</v>
      </c>
      <c r="AX39" s="91"/>
      <c r="AY39" s="91"/>
      <c r="AZ39" s="358">
        <v>6210</v>
      </c>
      <c r="BA39" s="358">
        <v>30225095.5</v>
      </c>
      <c r="BB39" s="362">
        <v>61345.760000000002</v>
      </c>
      <c r="BC39" s="361" t="s">
        <v>770</v>
      </c>
      <c r="BD39" s="91"/>
      <c r="BE39" s="91"/>
      <c r="BF39" s="358">
        <v>6183</v>
      </c>
      <c r="BG39" s="358">
        <v>27322748.5</v>
      </c>
      <c r="BH39" s="362">
        <v>60893.83</v>
      </c>
      <c r="BI39" s="361" t="s">
        <v>770</v>
      </c>
      <c r="BJ39" s="91"/>
      <c r="BK39" s="91"/>
      <c r="BL39" s="358">
        <v>6194</v>
      </c>
      <c r="BM39" s="358">
        <v>28389384.809999999</v>
      </c>
      <c r="BN39" s="362">
        <v>59512.88</v>
      </c>
      <c r="BO39" s="361" t="s">
        <v>770</v>
      </c>
      <c r="BP39" s="91"/>
      <c r="BQ39" s="91"/>
      <c r="BR39" s="358">
        <v>6189</v>
      </c>
      <c r="BS39" s="358">
        <v>25466499.719999999</v>
      </c>
      <c r="BT39" s="362">
        <v>57872.66</v>
      </c>
    </row>
    <row r="40" spans="1:72">
      <c r="A40" s="93" t="s">
        <v>55</v>
      </c>
      <c r="C40" s="92">
        <f>E36</f>
        <v>6958574</v>
      </c>
      <c r="D40" s="91"/>
      <c r="E40" s="91"/>
      <c r="F40" s="91"/>
      <c r="G40" s="93" t="s">
        <v>55</v>
      </c>
      <c r="I40" s="92">
        <f>K36</f>
        <v>7071870</v>
      </c>
      <c r="M40" s="93" t="s">
        <v>55</v>
      </c>
      <c r="O40" s="92">
        <f>Q36</f>
        <v>6971928</v>
      </c>
      <c r="S40" s="93" t="s">
        <v>55</v>
      </c>
      <c r="U40" s="92">
        <f>W36</f>
        <v>4112800</v>
      </c>
      <c r="Y40" s="93" t="s">
        <v>55</v>
      </c>
      <c r="AA40" s="92">
        <f>AC36</f>
        <v>3568248</v>
      </c>
      <c r="AE40" s="93" t="s">
        <v>55</v>
      </c>
      <c r="AG40" s="92">
        <f>AI36</f>
        <v>3363736</v>
      </c>
      <c r="AK40" s="93" t="s">
        <v>55</v>
      </c>
      <c r="AM40" s="92">
        <f>AO36</f>
        <v>3958843</v>
      </c>
      <c r="AQ40" s="93" t="s">
        <v>55</v>
      </c>
      <c r="AS40" s="92">
        <f>AU36</f>
        <v>4108617</v>
      </c>
      <c r="AW40" s="93" t="s">
        <v>55</v>
      </c>
      <c r="AY40" s="92">
        <f>BA36</f>
        <v>4156824</v>
      </c>
      <c r="BC40" s="93" t="s">
        <v>55</v>
      </c>
      <c r="BE40" s="92">
        <f>BG36</f>
        <v>3567955</v>
      </c>
      <c r="BI40" s="93" t="s">
        <v>55</v>
      </c>
      <c r="BK40" s="92">
        <f>BM36</f>
        <v>3815157</v>
      </c>
      <c r="BO40" s="93" t="s">
        <v>55</v>
      </c>
      <c r="BQ40" s="92">
        <f>BS36</f>
        <v>5520097</v>
      </c>
    </row>
    <row r="41" spans="1:72">
      <c r="A41" s="93" t="s">
        <v>56</v>
      </c>
      <c r="C41" s="92">
        <f>SUM(E18:E22)</f>
        <v>5582029</v>
      </c>
      <c r="D41" s="91"/>
      <c r="E41" s="91"/>
      <c r="F41" s="91"/>
      <c r="G41" s="93" t="s">
        <v>56</v>
      </c>
      <c r="I41" s="92">
        <f>SUM(K18:K22)</f>
        <v>5430648</v>
      </c>
      <c r="M41" s="93" t="s">
        <v>56</v>
      </c>
      <c r="O41" s="92">
        <f>SUM(Q18:Q22)</f>
        <v>4690181</v>
      </c>
      <c r="S41" s="93" t="s">
        <v>56</v>
      </c>
      <c r="U41" s="92">
        <f>SUM(W18:W22)</f>
        <v>4580621</v>
      </c>
      <c r="Y41" s="93" t="s">
        <v>56</v>
      </c>
      <c r="AA41" s="92">
        <f>SUM(AC18:AC22)</f>
        <v>4555615</v>
      </c>
      <c r="AE41" s="93" t="s">
        <v>56</v>
      </c>
      <c r="AG41" s="92">
        <f>SUM(AI18:AI22)</f>
        <v>4903807</v>
      </c>
      <c r="AK41" s="93" t="s">
        <v>56</v>
      </c>
      <c r="AM41" s="92">
        <f>SUM(AO18:AO22)</f>
        <v>5273989</v>
      </c>
      <c r="AQ41" s="93" t="s">
        <v>56</v>
      </c>
      <c r="AS41" s="92">
        <f>SUM(AU18:AU22)</f>
        <v>5392361</v>
      </c>
      <c r="AW41" s="93" t="s">
        <v>56</v>
      </c>
      <c r="AY41" s="92">
        <f>SUM(BA18:BA22)</f>
        <v>5129108</v>
      </c>
      <c r="BC41" s="93" t="s">
        <v>56</v>
      </c>
      <c r="BE41" s="92">
        <f>SUM(BG18:BG22)</f>
        <v>4671784</v>
      </c>
      <c r="BI41" s="93" t="s">
        <v>56</v>
      </c>
      <c r="BK41" s="92">
        <f>SUM(BM18:BM22)</f>
        <v>4559972</v>
      </c>
      <c r="BO41" s="93" t="s">
        <v>56</v>
      </c>
      <c r="BQ41" s="92">
        <f>SUM(BS18:BS22)</f>
        <v>4911113</v>
      </c>
    </row>
    <row r="42" spans="1:72">
      <c r="A42" s="93" t="s">
        <v>57</v>
      </c>
      <c r="C42" s="92">
        <f>SUM(E23)</f>
        <v>1075660</v>
      </c>
      <c r="D42" s="91"/>
      <c r="E42" s="91"/>
      <c r="F42" s="91"/>
      <c r="G42" s="93" t="s">
        <v>57</v>
      </c>
      <c r="I42" s="92">
        <f>SUM(K23)</f>
        <v>1138240</v>
      </c>
      <c r="M42" s="93" t="s">
        <v>57</v>
      </c>
      <c r="O42" s="92">
        <f>SUM(Q23)</f>
        <v>1053340</v>
      </c>
      <c r="S42" s="93" t="s">
        <v>57</v>
      </c>
      <c r="U42" s="92">
        <f>SUM(W23)</f>
        <v>1093940</v>
      </c>
      <c r="Y42" s="93" t="s">
        <v>57</v>
      </c>
      <c r="AA42" s="92">
        <f>SUM(AC23)</f>
        <v>1090620</v>
      </c>
      <c r="AE42" s="93" t="s">
        <v>57</v>
      </c>
      <c r="AG42" s="92">
        <f>SUM(AI23)</f>
        <v>1224420</v>
      </c>
      <c r="AK42" s="93" t="s">
        <v>57</v>
      </c>
      <c r="AM42" s="92">
        <f>SUM(AO23)</f>
        <v>1346160</v>
      </c>
      <c r="AQ42" s="93" t="s">
        <v>57</v>
      </c>
      <c r="AS42" s="92">
        <f>SUM(AU23)</f>
        <v>1303000</v>
      </c>
      <c r="AW42" s="93" t="s">
        <v>57</v>
      </c>
      <c r="AY42" s="92">
        <f>SUM(BA23)</f>
        <v>1295940</v>
      </c>
      <c r="BC42" s="93" t="s">
        <v>57</v>
      </c>
      <c r="BE42" s="92">
        <f>SUM(BG23)</f>
        <v>1241360</v>
      </c>
      <c r="BI42" s="93" t="s">
        <v>57</v>
      </c>
      <c r="BK42" s="92">
        <f>SUM(BM23)</f>
        <v>1113000</v>
      </c>
      <c r="BO42" s="93" t="s">
        <v>57</v>
      </c>
      <c r="BQ42" s="92">
        <f>SUM(BS23)</f>
        <v>1161380</v>
      </c>
    </row>
    <row r="43" spans="1:72">
      <c r="A43" s="93" t="s">
        <v>772</v>
      </c>
      <c r="C43" s="92">
        <f>SUM(E24,E26,E27,E30)</f>
        <v>581218.81999999995</v>
      </c>
      <c r="D43" s="91"/>
      <c r="E43" s="91"/>
      <c r="F43" s="91"/>
      <c r="G43" s="93" t="s">
        <v>772</v>
      </c>
      <c r="I43" s="92">
        <f>SUM(K24,K26,K27,K30)</f>
        <v>634268.22</v>
      </c>
      <c r="M43" s="93" t="s">
        <v>772</v>
      </c>
      <c r="O43" s="92">
        <f>SUM(Q24,Q26,Q27,Q30)</f>
        <v>506721</v>
      </c>
      <c r="S43" s="93" t="s">
        <v>772</v>
      </c>
      <c r="U43" s="92">
        <f>SUM(W24,W26,W27,W30)</f>
        <v>426482.51</v>
      </c>
      <c r="Y43" s="93" t="s">
        <v>772</v>
      </c>
      <c r="AA43" s="92">
        <f>SUM(AC24,AC26,AC27,AC30)</f>
        <v>432530.51</v>
      </c>
      <c r="AE43" s="93" t="s">
        <v>772</v>
      </c>
      <c r="AG43" s="92">
        <f>SUM(AI24,AI26,AI27,AI30)</f>
        <v>468455</v>
      </c>
      <c r="AK43" s="93" t="s">
        <v>772</v>
      </c>
      <c r="AM43" s="92">
        <f>SUM(AO24,AO26,AO27,AO30)</f>
        <v>3733601.71</v>
      </c>
      <c r="AQ43" s="93" t="s">
        <v>772</v>
      </c>
      <c r="AS43" s="92">
        <f>SUM(AU24,AU26,AU27,AU30)</f>
        <v>-2733897.24</v>
      </c>
      <c r="AW43" s="93" t="s">
        <v>772</v>
      </c>
      <c r="AY43" s="92">
        <f>SUM(BA24,BA26,BA27,BA30)</f>
        <v>498449.5</v>
      </c>
      <c r="BC43" s="93" t="s">
        <v>772</v>
      </c>
      <c r="BE43" s="92">
        <f>SUM(BG24,BG26,BG27,BG30)</f>
        <v>470963.5</v>
      </c>
      <c r="BI43" s="93" t="s">
        <v>772</v>
      </c>
      <c r="BK43" s="92">
        <f>SUM(BM24,BM26,BM27,BM30)</f>
        <v>438312.81</v>
      </c>
      <c r="BO43" s="93" t="s">
        <v>772</v>
      </c>
      <c r="BQ43" s="92">
        <f>SUM(BS24,BS26,BS27,BS30)</f>
        <v>456651.72</v>
      </c>
    </row>
    <row r="44" spans="1:72">
      <c r="A44" s="93" t="s">
        <v>771</v>
      </c>
      <c r="C44" s="92">
        <f>E25</f>
        <v>31540</v>
      </c>
      <c r="D44" s="91"/>
      <c r="E44" s="91"/>
      <c r="F44" s="91"/>
      <c r="G44" s="93" t="s">
        <v>771</v>
      </c>
      <c r="I44" s="92">
        <f>K25</f>
        <v>36457</v>
      </c>
      <c r="M44" s="93" t="s">
        <v>771</v>
      </c>
      <c r="O44" s="92">
        <f>Q25</f>
        <v>34080</v>
      </c>
      <c r="S44" s="93" t="s">
        <v>771</v>
      </c>
      <c r="U44" s="92">
        <f>W25</f>
        <v>30560</v>
      </c>
      <c r="Y44" s="93" t="s">
        <v>771</v>
      </c>
      <c r="AA44" s="92">
        <f>AC25</f>
        <v>27868</v>
      </c>
      <c r="AE44" s="93" t="s">
        <v>771</v>
      </c>
      <c r="AG44" s="92">
        <f>AI25</f>
        <v>19750</v>
      </c>
      <c r="AK44" s="93" t="s">
        <v>771</v>
      </c>
      <c r="AM44" s="92">
        <f>AO25</f>
        <v>26290</v>
      </c>
      <c r="AQ44" s="93" t="s">
        <v>771</v>
      </c>
      <c r="AS44" s="92">
        <f>AU25</f>
        <v>21938</v>
      </c>
      <c r="AW44" s="93" t="s">
        <v>771</v>
      </c>
      <c r="AY44" s="92">
        <f>BA25</f>
        <v>21805</v>
      </c>
      <c r="BC44" s="93" t="s">
        <v>771</v>
      </c>
      <c r="BE44" s="92">
        <f>BG25</f>
        <v>20500</v>
      </c>
      <c r="BI44" s="93" t="s">
        <v>771</v>
      </c>
      <c r="BK44" s="92">
        <f>BM25</f>
        <v>22414</v>
      </c>
      <c r="BO44" s="93" t="s">
        <v>771</v>
      </c>
      <c r="BQ44" s="92">
        <f>BS25</f>
        <v>25516</v>
      </c>
    </row>
    <row r="45" spans="1:72">
      <c r="A45" s="473" t="s">
        <v>966</v>
      </c>
      <c r="B45" s="70"/>
      <c r="C45" s="71"/>
      <c r="D45" s="91"/>
      <c r="E45" s="91"/>
      <c r="F45" s="91"/>
    </row>
    <row r="46" spans="1:72">
      <c r="A46" s="474" t="s">
        <v>55</v>
      </c>
      <c r="B46" s="33"/>
      <c r="C46" s="308">
        <f>SUM(C40,I40,O40,U40,AA40,AG40,AM40,AS40,AY40,BE40,BK40,BQ40)</f>
        <v>57174649</v>
      </c>
    </row>
    <row r="47" spans="1:72">
      <c r="A47" s="474" t="s">
        <v>56</v>
      </c>
      <c r="B47" s="33"/>
      <c r="C47" s="308">
        <f>SUM(C41,I41,O41,U41,AA41,AG41,AM41,AS41,AY41,BE41,BK41,BQ41)</f>
        <v>59681228</v>
      </c>
    </row>
    <row r="48" spans="1:72">
      <c r="A48" s="474" t="s">
        <v>57</v>
      </c>
      <c r="B48" s="33"/>
      <c r="C48" s="308">
        <f t="shared" ref="C48:C50" si="0">SUM(C42,I42,O42,U42,AA42,AG42,AM42,AS42,AY42,BE42,BK42,BQ42)</f>
        <v>14137060</v>
      </c>
    </row>
    <row r="49" spans="1:3">
      <c r="A49" s="474" t="s">
        <v>772</v>
      </c>
      <c r="B49" s="33"/>
      <c r="C49" s="308">
        <f t="shared" si="0"/>
        <v>5913758.0599999987</v>
      </c>
    </row>
    <row r="50" spans="1:3">
      <c r="A50" s="475" t="s">
        <v>771</v>
      </c>
      <c r="B50" s="45"/>
      <c r="C50" s="476">
        <f t="shared" si="0"/>
        <v>318718</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dimension ref="A1:BT50"/>
  <sheetViews>
    <sheetView zoomScale="70" zoomScaleNormal="70" workbookViewId="0">
      <selection activeCell="C42" sqref="C42"/>
    </sheetView>
  </sheetViews>
  <sheetFormatPr defaultRowHeight="15"/>
  <cols>
    <col min="1" max="1" width="15.42578125" bestFit="1" customWidth="1"/>
    <col min="2" max="2" width="23.28515625" bestFit="1" customWidth="1"/>
    <col min="3" max="3" width="13.5703125" customWidth="1"/>
    <col min="4" max="6" width="14.140625" bestFit="1" customWidth="1"/>
    <col min="11" max="11" width="10.140625" bestFit="1" customWidth="1"/>
    <col min="17" max="17" width="10.140625" bestFit="1" customWidth="1"/>
    <col min="23" max="23" width="9.85546875" bestFit="1" customWidth="1"/>
    <col min="29" max="29" width="10.140625" bestFit="1" customWidth="1"/>
    <col min="35" max="35" width="10.140625" bestFit="1" customWidth="1"/>
    <col min="41" max="41" width="9.85546875" bestFit="1" customWidth="1"/>
    <col min="47" max="47" width="9.85546875" bestFit="1" customWidth="1"/>
    <col min="53" max="53" width="9.85546875" bestFit="1" customWidth="1"/>
    <col min="59" max="59" width="9.85546875" bestFit="1" customWidth="1"/>
    <col min="65" max="65" width="9.85546875" bestFit="1" customWidth="1"/>
    <col min="71" max="71" width="9.85546875" bestFit="1" customWidth="1"/>
  </cols>
  <sheetData>
    <row r="1" spans="1:72">
      <c r="A1" s="900" t="s">
        <v>2263</v>
      </c>
      <c r="B1" s="901"/>
      <c r="C1" s="902"/>
      <c r="D1" s="12"/>
      <c r="E1" s="12"/>
      <c r="F1" s="12"/>
      <c r="G1" s="12"/>
    </row>
    <row r="3" spans="1:72" s="1" customFormat="1">
      <c r="A3" s="1" t="s">
        <v>11</v>
      </c>
      <c r="G3" s="1" t="s">
        <v>12</v>
      </c>
      <c r="M3" s="1" t="s">
        <v>13</v>
      </c>
      <c r="S3" s="1" t="s">
        <v>14</v>
      </c>
      <c r="Y3" s="1" t="s">
        <v>15</v>
      </c>
      <c r="AE3" s="1" t="s">
        <v>16</v>
      </c>
      <c r="AK3" s="1" t="s">
        <v>17</v>
      </c>
      <c r="AQ3" s="1" t="s">
        <v>18</v>
      </c>
      <c r="AW3" s="1" t="s">
        <v>19</v>
      </c>
      <c r="BC3" s="1" t="s">
        <v>20</v>
      </c>
      <c r="BI3" s="1" t="s">
        <v>21</v>
      </c>
      <c r="BO3" s="1" t="s">
        <v>22</v>
      </c>
    </row>
    <row r="4" spans="1:72">
      <c r="A4" s="355" t="s">
        <v>718</v>
      </c>
      <c r="B4" s="91"/>
      <c r="C4" s="91"/>
      <c r="D4" s="356" t="s">
        <v>719</v>
      </c>
      <c r="E4" s="356" t="s">
        <v>720</v>
      </c>
      <c r="F4" s="356" t="s">
        <v>721</v>
      </c>
      <c r="G4" s="355" t="s">
        <v>718</v>
      </c>
      <c r="H4" s="91"/>
      <c r="I4" s="91"/>
      <c r="J4" s="356" t="s">
        <v>719</v>
      </c>
      <c r="K4" s="356" t="s">
        <v>720</v>
      </c>
      <c r="L4" s="356" t="s">
        <v>721</v>
      </c>
      <c r="M4" s="355" t="s">
        <v>718</v>
      </c>
      <c r="N4" s="91"/>
      <c r="O4" s="91"/>
      <c r="P4" s="356" t="s">
        <v>719</v>
      </c>
      <c r="Q4" s="356" t="s">
        <v>720</v>
      </c>
      <c r="R4" s="356" t="s">
        <v>721</v>
      </c>
      <c r="S4" s="355" t="s">
        <v>718</v>
      </c>
      <c r="T4" s="91"/>
      <c r="U4" s="91"/>
      <c r="V4" s="356" t="s">
        <v>719</v>
      </c>
      <c r="W4" s="356" t="s">
        <v>720</v>
      </c>
      <c r="X4" s="356" t="s">
        <v>721</v>
      </c>
      <c r="Y4" s="355" t="s">
        <v>718</v>
      </c>
      <c r="Z4" s="91"/>
      <c r="AA4" s="91"/>
      <c r="AB4" s="356" t="s">
        <v>719</v>
      </c>
      <c r="AC4" s="356" t="s">
        <v>720</v>
      </c>
      <c r="AD4" s="356" t="s">
        <v>721</v>
      </c>
      <c r="AE4" s="355" t="s">
        <v>718</v>
      </c>
      <c r="AF4" s="91"/>
      <c r="AG4" s="91"/>
      <c r="AH4" s="356" t="s">
        <v>719</v>
      </c>
      <c r="AI4" s="356" t="s">
        <v>720</v>
      </c>
      <c r="AJ4" s="356" t="s">
        <v>721</v>
      </c>
      <c r="AK4" s="355" t="s">
        <v>718</v>
      </c>
      <c r="AL4" s="91"/>
      <c r="AM4" s="91"/>
      <c r="AN4" s="356" t="s">
        <v>719</v>
      </c>
      <c r="AO4" s="356" t="s">
        <v>720</v>
      </c>
      <c r="AP4" s="356" t="s">
        <v>721</v>
      </c>
      <c r="AQ4" s="355" t="s">
        <v>718</v>
      </c>
      <c r="AR4" s="91"/>
      <c r="AS4" s="91"/>
      <c r="AT4" s="356" t="s">
        <v>719</v>
      </c>
      <c r="AU4" s="356" t="s">
        <v>720</v>
      </c>
      <c r="AV4" s="356" t="s">
        <v>721</v>
      </c>
      <c r="AW4" s="355" t="s">
        <v>718</v>
      </c>
      <c r="AX4" s="91"/>
      <c r="AY4" s="91"/>
      <c r="AZ4" s="356" t="s">
        <v>719</v>
      </c>
      <c r="BA4" s="356" t="s">
        <v>720</v>
      </c>
      <c r="BB4" s="356" t="s">
        <v>721</v>
      </c>
      <c r="BC4" s="355" t="s">
        <v>718</v>
      </c>
      <c r="BD4" s="91"/>
      <c r="BE4" s="91"/>
      <c r="BF4" s="356" t="s">
        <v>719</v>
      </c>
      <c r="BG4" s="356" t="s">
        <v>720</v>
      </c>
      <c r="BH4" s="356" t="s">
        <v>721</v>
      </c>
      <c r="BI4" s="355" t="s">
        <v>718</v>
      </c>
      <c r="BJ4" s="91"/>
      <c r="BK4" s="91"/>
      <c r="BL4" s="356" t="s">
        <v>719</v>
      </c>
      <c r="BM4" s="356" t="s">
        <v>720</v>
      </c>
      <c r="BN4" s="356" t="s">
        <v>721</v>
      </c>
      <c r="BO4" s="355" t="s">
        <v>718</v>
      </c>
      <c r="BP4" s="91"/>
      <c r="BQ4" s="91"/>
      <c r="BR4" s="356" t="s">
        <v>719</v>
      </c>
      <c r="BS4" s="356" t="s">
        <v>720</v>
      </c>
      <c r="BT4" s="356" t="s">
        <v>721</v>
      </c>
    </row>
    <row r="5" spans="1:72">
      <c r="A5" s="357" t="s">
        <v>722</v>
      </c>
      <c r="B5" s="357" t="s">
        <v>723</v>
      </c>
      <c r="C5" s="91"/>
      <c r="D5" s="358">
        <v>7</v>
      </c>
      <c r="E5" s="358">
        <v>111087</v>
      </c>
      <c r="F5" s="359">
        <v>206.72</v>
      </c>
      <c r="G5" s="357" t="s">
        <v>722</v>
      </c>
      <c r="H5" s="357" t="s">
        <v>723</v>
      </c>
      <c r="I5" s="91"/>
      <c r="J5" s="358">
        <v>7</v>
      </c>
      <c r="K5" s="358">
        <v>137534</v>
      </c>
      <c r="L5" s="359">
        <v>216.64</v>
      </c>
      <c r="M5" s="357" t="s">
        <v>722</v>
      </c>
      <c r="N5" s="357" t="s">
        <v>723</v>
      </c>
      <c r="O5" s="91"/>
      <c r="P5" s="358">
        <v>7</v>
      </c>
      <c r="Q5" s="358">
        <v>103198</v>
      </c>
      <c r="R5" s="359">
        <v>193.92</v>
      </c>
      <c r="S5" s="357" t="s">
        <v>722</v>
      </c>
      <c r="T5" s="357" t="s">
        <v>723</v>
      </c>
      <c r="U5" s="91"/>
      <c r="V5" s="358">
        <v>7</v>
      </c>
      <c r="W5" s="358">
        <v>117826</v>
      </c>
      <c r="X5" s="359">
        <v>204.8</v>
      </c>
      <c r="Y5" s="357" t="s">
        <v>722</v>
      </c>
      <c r="Z5" s="357" t="s">
        <v>723</v>
      </c>
      <c r="AA5" s="91"/>
      <c r="AB5" s="358">
        <v>7</v>
      </c>
      <c r="AC5" s="358">
        <v>134299</v>
      </c>
      <c r="AD5" s="359">
        <v>211.2</v>
      </c>
      <c r="AE5" s="357" t="s">
        <v>722</v>
      </c>
      <c r="AF5" s="357" t="s">
        <v>723</v>
      </c>
      <c r="AG5" s="91"/>
      <c r="AH5" s="358">
        <v>7</v>
      </c>
      <c r="AI5" s="358">
        <v>134993</v>
      </c>
      <c r="AJ5" s="359">
        <v>218.24</v>
      </c>
      <c r="AK5" s="357" t="s">
        <v>722</v>
      </c>
      <c r="AL5" s="357" t="s">
        <v>723</v>
      </c>
      <c r="AM5" s="91"/>
      <c r="AN5" s="358">
        <v>7</v>
      </c>
      <c r="AO5" s="358">
        <v>117824</v>
      </c>
      <c r="AP5" s="359">
        <v>218.48</v>
      </c>
      <c r="AQ5" s="357" t="s">
        <v>722</v>
      </c>
      <c r="AR5" s="357" t="s">
        <v>723</v>
      </c>
      <c r="AS5" s="91"/>
      <c r="AT5" s="358">
        <v>7</v>
      </c>
      <c r="AU5" s="358">
        <v>126096</v>
      </c>
      <c r="AV5" s="359">
        <v>204.72</v>
      </c>
      <c r="AW5" s="357" t="s">
        <v>722</v>
      </c>
      <c r="AX5" s="357" t="s">
        <v>723</v>
      </c>
      <c r="AY5" s="91"/>
      <c r="AZ5" s="358">
        <v>7</v>
      </c>
      <c r="BA5" s="358">
        <v>137386</v>
      </c>
      <c r="BB5" s="359">
        <v>206.88</v>
      </c>
      <c r="BC5" s="357" t="s">
        <v>722</v>
      </c>
      <c r="BD5" s="357" t="s">
        <v>723</v>
      </c>
      <c r="BE5" s="91"/>
      <c r="BF5" s="358">
        <v>7</v>
      </c>
      <c r="BG5" s="358">
        <v>120835</v>
      </c>
      <c r="BH5" s="359">
        <v>207.36</v>
      </c>
      <c r="BI5" s="357" t="s">
        <v>722</v>
      </c>
      <c r="BJ5" s="357" t="s">
        <v>723</v>
      </c>
      <c r="BK5" s="91"/>
      <c r="BL5" s="358">
        <v>7</v>
      </c>
      <c r="BM5" s="358">
        <v>115803</v>
      </c>
      <c r="BN5" s="359">
        <v>199.44</v>
      </c>
      <c r="BO5" s="357" t="s">
        <v>722</v>
      </c>
      <c r="BP5" s="357" t="s">
        <v>723</v>
      </c>
      <c r="BQ5" s="91"/>
      <c r="BR5" s="358">
        <v>7</v>
      </c>
      <c r="BS5" s="358">
        <v>115781</v>
      </c>
      <c r="BT5" s="359">
        <v>200</v>
      </c>
    </row>
    <row r="6" spans="1:72">
      <c r="A6" s="357" t="s">
        <v>724</v>
      </c>
      <c r="B6" s="357" t="s">
        <v>725</v>
      </c>
      <c r="C6" s="91"/>
      <c r="D6" s="358">
        <v>6</v>
      </c>
      <c r="E6" s="358">
        <v>473912</v>
      </c>
      <c r="F6" s="359">
        <v>1646.72</v>
      </c>
      <c r="G6" s="357" t="s">
        <v>724</v>
      </c>
      <c r="H6" s="357" t="s">
        <v>725</v>
      </c>
      <c r="I6" s="91"/>
      <c r="J6" s="358">
        <v>6</v>
      </c>
      <c r="K6" s="358">
        <v>766104</v>
      </c>
      <c r="L6" s="359">
        <v>1824.4</v>
      </c>
      <c r="M6" s="357" t="s">
        <v>724</v>
      </c>
      <c r="N6" s="357" t="s">
        <v>725</v>
      </c>
      <c r="O6" s="91"/>
      <c r="P6" s="358">
        <v>6</v>
      </c>
      <c r="Q6" s="358">
        <v>606048</v>
      </c>
      <c r="R6" s="359">
        <v>1657.84</v>
      </c>
      <c r="S6" s="357" t="s">
        <v>724</v>
      </c>
      <c r="T6" s="357" t="s">
        <v>725</v>
      </c>
      <c r="U6" s="91"/>
      <c r="V6" s="358">
        <v>6</v>
      </c>
      <c r="W6" s="358">
        <v>851080</v>
      </c>
      <c r="X6" s="359">
        <v>1878.72</v>
      </c>
      <c r="Y6" s="357" t="s">
        <v>724</v>
      </c>
      <c r="Z6" s="357" t="s">
        <v>725</v>
      </c>
      <c r="AA6" s="91"/>
      <c r="AB6" s="358">
        <v>6</v>
      </c>
      <c r="AC6" s="358">
        <v>962288</v>
      </c>
      <c r="AD6" s="359">
        <v>1959.28</v>
      </c>
      <c r="AE6" s="357" t="s">
        <v>724</v>
      </c>
      <c r="AF6" s="357" t="s">
        <v>725</v>
      </c>
      <c r="AG6" s="91"/>
      <c r="AH6" s="358">
        <v>6</v>
      </c>
      <c r="AI6" s="358">
        <v>855584</v>
      </c>
      <c r="AJ6" s="359">
        <v>1865.44</v>
      </c>
      <c r="AK6" s="357" t="s">
        <v>724</v>
      </c>
      <c r="AL6" s="357" t="s">
        <v>725</v>
      </c>
      <c r="AM6" s="91"/>
      <c r="AN6" s="358">
        <v>6</v>
      </c>
      <c r="AO6" s="358">
        <v>796264</v>
      </c>
      <c r="AP6" s="359">
        <v>1620.16</v>
      </c>
      <c r="AQ6" s="357" t="s">
        <v>724</v>
      </c>
      <c r="AR6" s="357" t="s">
        <v>725</v>
      </c>
      <c r="AS6" s="91"/>
      <c r="AT6" s="358">
        <v>6</v>
      </c>
      <c r="AU6" s="358">
        <v>851704</v>
      </c>
      <c r="AV6" s="359">
        <v>2035.28</v>
      </c>
      <c r="AW6" s="357" t="s">
        <v>724</v>
      </c>
      <c r="AX6" s="357" t="s">
        <v>725</v>
      </c>
      <c r="AY6" s="91"/>
      <c r="AZ6" s="358">
        <v>6</v>
      </c>
      <c r="BA6" s="358">
        <v>1155512</v>
      </c>
      <c r="BB6" s="359">
        <v>2178.56</v>
      </c>
      <c r="BC6" s="357" t="s">
        <v>724</v>
      </c>
      <c r="BD6" s="357" t="s">
        <v>725</v>
      </c>
      <c r="BE6" s="91"/>
      <c r="BF6" s="358">
        <v>6</v>
      </c>
      <c r="BG6" s="358">
        <v>913312</v>
      </c>
      <c r="BH6" s="359">
        <v>2209.84</v>
      </c>
      <c r="BI6" s="357" t="s">
        <v>724</v>
      </c>
      <c r="BJ6" s="357" t="s">
        <v>725</v>
      </c>
      <c r="BK6" s="91"/>
      <c r="BL6" s="358">
        <v>6</v>
      </c>
      <c r="BM6" s="358">
        <v>776928</v>
      </c>
      <c r="BN6" s="359">
        <v>2094.3200000000002</v>
      </c>
      <c r="BO6" s="357" t="s">
        <v>724</v>
      </c>
      <c r="BP6" s="357" t="s">
        <v>725</v>
      </c>
      <c r="BQ6" s="91"/>
      <c r="BR6" s="358">
        <v>6</v>
      </c>
      <c r="BS6" s="358">
        <v>592704</v>
      </c>
      <c r="BT6" s="359">
        <v>1919.52</v>
      </c>
    </row>
    <row r="7" spans="1:72">
      <c r="A7" s="357"/>
      <c r="B7" s="357"/>
      <c r="C7" s="91"/>
      <c r="D7" s="358"/>
      <c r="E7" s="358"/>
      <c r="F7" s="359"/>
      <c r="G7" s="357"/>
      <c r="H7" s="357"/>
      <c r="I7" s="91"/>
      <c r="J7" s="358"/>
      <c r="K7" s="358"/>
      <c r="L7" s="359"/>
      <c r="M7" s="357"/>
      <c r="N7" s="357"/>
      <c r="O7" s="91"/>
      <c r="P7" s="358"/>
      <c r="Q7" s="358"/>
      <c r="R7" s="359"/>
      <c r="S7" s="357"/>
      <c r="T7" s="357"/>
      <c r="U7" s="91"/>
      <c r="V7" s="358"/>
      <c r="W7" s="358"/>
      <c r="X7" s="359"/>
      <c r="Y7" s="357"/>
      <c r="Z7" s="357"/>
      <c r="AA7" s="91"/>
      <c r="AB7" s="358"/>
      <c r="AC7" s="358"/>
      <c r="AD7" s="359"/>
      <c r="AE7" s="357"/>
      <c r="AF7" s="357"/>
      <c r="AG7" s="91"/>
      <c r="AH7" s="358"/>
      <c r="AI7" s="358"/>
      <c r="AJ7" s="359"/>
      <c r="AK7" s="357"/>
      <c r="AL7" s="357"/>
      <c r="AM7" s="91"/>
      <c r="AN7" s="358"/>
      <c r="AO7" s="358"/>
      <c r="AP7" s="359"/>
      <c r="AQ7" s="357" t="s">
        <v>726</v>
      </c>
      <c r="AR7" s="357" t="s">
        <v>727</v>
      </c>
      <c r="AS7" s="91"/>
      <c r="AT7" s="358">
        <v>12</v>
      </c>
      <c r="AU7" s="358">
        <v>50979</v>
      </c>
      <c r="AV7" s="359">
        <v>106.24</v>
      </c>
      <c r="AW7" s="357" t="s">
        <v>726</v>
      </c>
      <c r="AX7" s="357" t="s">
        <v>727</v>
      </c>
      <c r="AY7" s="91"/>
      <c r="AZ7" s="358">
        <v>10</v>
      </c>
      <c r="BA7" s="358">
        <v>38152</v>
      </c>
      <c r="BB7" s="359">
        <v>0.61</v>
      </c>
      <c r="BC7" s="357" t="s">
        <v>726</v>
      </c>
      <c r="BD7" s="357" t="s">
        <v>727</v>
      </c>
      <c r="BE7" s="91"/>
      <c r="BF7" s="358">
        <v>11</v>
      </c>
      <c r="BG7" s="358">
        <v>55405</v>
      </c>
      <c r="BH7" s="359">
        <v>45.67</v>
      </c>
      <c r="BI7" s="357" t="s">
        <v>726</v>
      </c>
      <c r="BJ7" s="357" t="s">
        <v>727</v>
      </c>
      <c r="BK7" s="91"/>
      <c r="BL7" s="358">
        <v>11</v>
      </c>
      <c r="BM7" s="358">
        <v>55597</v>
      </c>
      <c r="BN7" s="359">
        <v>45.15</v>
      </c>
      <c r="BO7" s="357" t="s">
        <v>726</v>
      </c>
      <c r="BP7" s="357" t="s">
        <v>727</v>
      </c>
      <c r="BQ7" s="91"/>
      <c r="BR7" s="358">
        <v>11</v>
      </c>
      <c r="BS7" s="358">
        <v>55147</v>
      </c>
      <c r="BT7" s="359">
        <v>44.78</v>
      </c>
    </row>
    <row r="8" spans="1:72">
      <c r="A8" s="357" t="s">
        <v>728</v>
      </c>
      <c r="B8" s="357" t="s">
        <v>729</v>
      </c>
      <c r="C8" s="91"/>
      <c r="D8" s="358">
        <v>40</v>
      </c>
      <c r="E8" s="358">
        <v>822534</v>
      </c>
      <c r="F8" s="359">
        <v>2915.53</v>
      </c>
      <c r="G8" s="357" t="s">
        <v>728</v>
      </c>
      <c r="H8" s="357" t="s">
        <v>729</v>
      </c>
      <c r="I8" s="91"/>
      <c r="J8" s="358">
        <v>40</v>
      </c>
      <c r="K8" s="358">
        <v>1867794</v>
      </c>
      <c r="L8" s="359">
        <v>3491.41</v>
      </c>
      <c r="M8" s="357" t="s">
        <v>728</v>
      </c>
      <c r="N8" s="357" t="s">
        <v>729</v>
      </c>
      <c r="O8" s="91"/>
      <c r="P8" s="358">
        <v>40</v>
      </c>
      <c r="Q8" s="358">
        <v>1241095</v>
      </c>
      <c r="R8" s="359">
        <v>3423.09</v>
      </c>
      <c r="S8" s="357" t="s">
        <v>728</v>
      </c>
      <c r="T8" s="357" t="s">
        <v>729</v>
      </c>
      <c r="U8" s="91"/>
      <c r="V8" s="358">
        <v>40</v>
      </c>
      <c r="W8" s="358">
        <v>1705115</v>
      </c>
      <c r="X8" s="359">
        <v>3520.36</v>
      </c>
      <c r="Y8" s="357" t="s">
        <v>728</v>
      </c>
      <c r="Z8" s="357" t="s">
        <v>729</v>
      </c>
      <c r="AA8" s="91"/>
      <c r="AB8" s="358">
        <v>40</v>
      </c>
      <c r="AC8" s="358">
        <v>1475240</v>
      </c>
      <c r="AD8" s="359">
        <v>3487.68</v>
      </c>
      <c r="AE8" s="357" t="s">
        <v>728</v>
      </c>
      <c r="AF8" s="357" t="s">
        <v>729</v>
      </c>
      <c r="AG8" s="91"/>
      <c r="AH8" s="358">
        <v>40</v>
      </c>
      <c r="AI8" s="358">
        <v>787912</v>
      </c>
      <c r="AJ8" s="359">
        <v>1576.2</v>
      </c>
      <c r="AK8" s="357" t="s">
        <v>728</v>
      </c>
      <c r="AL8" s="357" t="s">
        <v>729</v>
      </c>
      <c r="AM8" s="91"/>
      <c r="AN8" s="358">
        <v>40</v>
      </c>
      <c r="AO8" s="358">
        <v>730395</v>
      </c>
      <c r="AP8" s="359">
        <v>1688.38</v>
      </c>
      <c r="AQ8" s="357" t="s">
        <v>728</v>
      </c>
      <c r="AR8" s="357" t="s">
        <v>729</v>
      </c>
      <c r="AS8" s="91"/>
      <c r="AT8" s="358">
        <v>42</v>
      </c>
      <c r="AU8" s="358">
        <v>873994</v>
      </c>
      <c r="AV8" s="359">
        <v>2020.32</v>
      </c>
      <c r="AW8" s="357" t="s">
        <v>728</v>
      </c>
      <c r="AX8" s="357" t="s">
        <v>729</v>
      </c>
      <c r="AY8" s="91"/>
      <c r="AZ8" s="358">
        <v>42</v>
      </c>
      <c r="BA8" s="358">
        <v>1853170</v>
      </c>
      <c r="BB8" s="359">
        <v>3754</v>
      </c>
      <c r="BC8" s="357" t="s">
        <v>728</v>
      </c>
      <c r="BD8" s="357" t="s">
        <v>729</v>
      </c>
      <c r="BE8" s="91"/>
      <c r="BF8" s="358">
        <v>42</v>
      </c>
      <c r="BG8" s="358">
        <v>1641090</v>
      </c>
      <c r="BH8" s="359">
        <v>3671.8</v>
      </c>
      <c r="BI8" s="357" t="s">
        <v>728</v>
      </c>
      <c r="BJ8" s="357" t="s">
        <v>729</v>
      </c>
      <c r="BK8" s="91"/>
      <c r="BL8" s="358">
        <v>42</v>
      </c>
      <c r="BM8" s="358">
        <v>1568577</v>
      </c>
      <c r="BN8" s="359">
        <v>3584.46</v>
      </c>
      <c r="BO8" s="357" t="s">
        <v>728</v>
      </c>
      <c r="BP8" s="357" t="s">
        <v>729</v>
      </c>
      <c r="BQ8" s="91"/>
      <c r="BR8" s="358">
        <v>42</v>
      </c>
      <c r="BS8" s="358">
        <v>1357992</v>
      </c>
      <c r="BT8" s="359">
        <v>3524.83</v>
      </c>
    </row>
    <row r="9" spans="1:72">
      <c r="A9" s="357" t="s">
        <v>730</v>
      </c>
      <c r="B9" s="357" t="s">
        <v>731</v>
      </c>
      <c r="C9" s="91"/>
      <c r="D9" s="358">
        <v>16</v>
      </c>
      <c r="E9" s="358">
        <v>856576</v>
      </c>
      <c r="F9" s="359">
        <v>2130.36</v>
      </c>
      <c r="G9" s="357" t="s">
        <v>730</v>
      </c>
      <c r="H9" s="357" t="s">
        <v>731</v>
      </c>
      <c r="I9" s="91"/>
      <c r="J9" s="358">
        <v>16</v>
      </c>
      <c r="K9" s="358">
        <v>1094192</v>
      </c>
      <c r="L9" s="359">
        <v>2844.36</v>
      </c>
      <c r="M9" s="357" t="s">
        <v>730</v>
      </c>
      <c r="N9" s="357" t="s">
        <v>731</v>
      </c>
      <c r="O9" s="91"/>
      <c r="P9" s="358">
        <v>16</v>
      </c>
      <c r="Q9" s="358">
        <v>812208</v>
      </c>
      <c r="R9" s="359">
        <v>2474.4</v>
      </c>
      <c r="S9" s="357" t="s">
        <v>730</v>
      </c>
      <c r="T9" s="357" t="s">
        <v>731</v>
      </c>
      <c r="U9" s="91"/>
      <c r="V9" s="358">
        <v>16</v>
      </c>
      <c r="W9" s="358">
        <v>977864</v>
      </c>
      <c r="X9" s="359">
        <v>2685.88</v>
      </c>
      <c r="Y9" s="357" t="s">
        <v>730</v>
      </c>
      <c r="Z9" s="357" t="s">
        <v>731</v>
      </c>
      <c r="AA9" s="91"/>
      <c r="AB9" s="358">
        <v>16</v>
      </c>
      <c r="AC9" s="358">
        <v>1212416</v>
      </c>
      <c r="AD9" s="359">
        <v>3811.61</v>
      </c>
      <c r="AE9" s="357" t="s">
        <v>730</v>
      </c>
      <c r="AF9" s="357" t="s">
        <v>731</v>
      </c>
      <c r="AG9" s="91"/>
      <c r="AH9" s="358">
        <v>16</v>
      </c>
      <c r="AI9" s="358">
        <v>1071643</v>
      </c>
      <c r="AJ9" s="359">
        <v>2546.58</v>
      </c>
      <c r="AK9" s="357" t="s">
        <v>730</v>
      </c>
      <c r="AL9" s="357" t="s">
        <v>731</v>
      </c>
      <c r="AM9" s="91"/>
      <c r="AN9" s="358">
        <v>15</v>
      </c>
      <c r="AO9" s="358">
        <v>947176</v>
      </c>
      <c r="AP9" s="359">
        <v>2676.17</v>
      </c>
      <c r="AQ9" s="357" t="s">
        <v>730</v>
      </c>
      <c r="AR9" s="357" t="s">
        <v>731</v>
      </c>
      <c r="AS9" s="91"/>
      <c r="AT9" s="358">
        <v>16</v>
      </c>
      <c r="AU9" s="358">
        <v>1024072</v>
      </c>
      <c r="AV9" s="359">
        <v>3213.85</v>
      </c>
      <c r="AW9" s="357" t="s">
        <v>730</v>
      </c>
      <c r="AX9" s="357" t="s">
        <v>731</v>
      </c>
      <c r="AY9" s="91"/>
      <c r="AZ9" s="358">
        <v>16</v>
      </c>
      <c r="BA9" s="358">
        <v>1330800</v>
      </c>
      <c r="BB9" s="359">
        <v>4642.1099999999997</v>
      </c>
      <c r="BC9" s="357" t="s">
        <v>730</v>
      </c>
      <c r="BD9" s="357" t="s">
        <v>731</v>
      </c>
      <c r="BE9" s="91"/>
      <c r="BF9" s="358">
        <v>16</v>
      </c>
      <c r="BG9" s="358">
        <v>1058248</v>
      </c>
      <c r="BH9" s="359">
        <v>4702.88</v>
      </c>
      <c r="BI9" s="357" t="s">
        <v>730</v>
      </c>
      <c r="BJ9" s="357" t="s">
        <v>731</v>
      </c>
      <c r="BK9" s="91"/>
      <c r="BL9" s="358">
        <v>16</v>
      </c>
      <c r="BM9" s="358">
        <v>1078872</v>
      </c>
      <c r="BN9" s="359">
        <v>4581.16</v>
      </c>
      <c r="BO9" s="357" t="s">
        <v>730</v>
      </c>
      <c r="BP9" s="357" t="s">
        <v>731</v>
      </c>
      <c r="BQ9" s="91"/>
      <c r="BR9" s="358">
        <v>18</v>
      </c>
      <c r="BS9" s="358">
        <v>1005312</v>
      </c>
      <c r="BT9" s="359">
        <v>4521.59</v>
      </c>
    </row>
    <row r="10" spans="1:72">
      <c r="A10" s="357" t="s">
        <v>732</v>
      </c>
      <c r="B10" s="357" t="s">
        <v>733</v>
      </c>
      <c r="C10" s="91"/>
      <c r="D10" s="358">
        <v>16</v>
      </c>
      <c r="E10" s="358">
        <v>1031144</v>
      </c>
      <c r="F10" s="359">
        <v>2120.54</v>
      </c>
      <c r="G10" s="357" t="s">
        <v>732</v>
      </c>
      <c r="H10" s="357" t="s">
        <v>733</v>
      </c>
      <c r="I10" s="91"/>
      <c r="J10" s="358">
        <v>16</v>
      </c>
      <c r="K10" s="358">
        <v>1082758</v>
      </c>
      <c r="L10" s="359">
        <v>2245.79</v>
      </c>
      <c r="M10" s="357" t="s">
        <v>732</v>
      </c>
      <c r="N10" s="357" t="s">
        <v>733</v>
      </c>
      <c r="O10" s="91"/>
      <c r="P10" s="358">
        <v>16</v>
      </c>
      <c r="Q10" s="358">
        <v>878878</v>
      </c>
      <c r="R10" s="359">
        <v>2245.4499999999998</v>
      </c>
      <c r="S10" s="357" t="s">
        <v>732</v>
      </c>
      <c r="T10" s="357" t="s">
        <v>733</v>
      </c>
      <c r="U10" s="91"/>
      <c r="V10" s="358">
        <v>16</v>
      </c>
      <c r="W10" s="358">
        <v>1077743</v>
      </c>
      <c r="X10" s="359">
        <v>2244.61</v>
      </c>
      <c r="Y10" s="357" t="s">
        <v>732</v>
      </c>
      <c r="Z10" s="357" t="s">
        <v>733</v>
      </c>
      <c r="AA10" s="91"/>
      <c r="AB10" s="358">
        <v>16</v>
      </c>
      <c r="AC10" s="358">
        <v>1204557</v>
      </c>
      <c r="AD10" s="359">
        <v>2507.5700000000002</v>
      </c>
      <c r="AE10" s="357" t="s">
        <v>732</v>
      </c>
      <c r="AF10" s="357" t="s">
        <v>733</v>
      </c>
      <c r="AG10" s="91"/>
      <c r="AH10" s="358">
        <v>16</v>
      </c>
      <c r="AI10" s="358">
        <v>1210782</v>
      </c>
      <c r="AJ10" s="359">
        <v>2417.96</v>
      </c>
      <c r="AK10" s="357" t="s">
        <v>732</v>
      </c>
      <c r="AL10" s="357" t="s">
        <v>733</v>
      </c>
      <c r="AM10" s="91"/>
      <c r="AN10" s="358">
        <v>16</v>
      </c>
      <c r="AO10" s="358">
        <v>1072776</v>
      </c>
      <c r="AP10" s="359">
        <v>2478.4499999999998</v>
      </c>
      <c r="AQ10" s="357" t="s">
        <v>732</v>
      </c>
      <c r="AR10" s="357" t="s">
        <v>733</v>
      </c>
      <c r="AS10" s="91"/>
      <c r="AT10" s="358">
        <v>15</v>
      </c>
      <c r="AU10" s="358">
        <v>1145247</v>
      </c>
      <c r="AV10" s="359">
        <v>2658.83</v>
      </c>
      <c r="AW10" s="357" t="s">
        <v>732</v>
      </c>
      <c r="AX10" s="357" t="s">
        <v>733</v>
      </c>
      <c r="AY10" s="91"/>
      <c r="AZ10" s="358">
        <v>15</v>
      </c>
      <c r="BA10" s="358">
        <v>1224165</v>
      </c>
      <c r="BB10" s="359">
        <v>2841.21</v>
      </c>
      <c r="BC10" s="357" t="s">
        <v>732</v>
      </c>
      <c r="BD10" s="357" t="s">
        <v>733</v>
      </c>
      <c r="BE10" s="91"/>
      <c r="BF10" s="358">
        <v>15</v>
      </c>
      <c r="BG10" s="358">
        <v>1204387</v>
      </c>
      <c r="BH10" s="359">
        <v>2934.72</v>
      </c>
      <c r="BI10" s="357" t="s">
        <v>732</v>
      </c>
      <c r="BJ10" s="357" t="s">
        <v>733</v>
      </c>
      <c r="BK10" s="91"/>
      <c r="BL10" s="358">
        <v>16</v>
      </c>
      <c r="BM10" s="358">
        <v>1092235</v>
      </c>
      <c r="BN10" s="359">
        <v>2482.96</v>
      </c>
      <c r="BO10" s="357" t="s">
        <v>732</v>
      </c>
      <c r="BP10" s="357" t="s">
        <v>733</v>
      </c>
      <c r="BQ10" s="91"/>
      <c r="BR10" s="358">
        <v>16</v>
      </c>
      <c r="BS10" s="358">
        <v>915220</v>
      </c>
      <c r="BT10" s="359">
        <v>2462.84</v>
      </c>
    </row>
    <row r="11" spans="1:72">
      <c r="A11" s="360" t="s">
        <v>734</v>
      </c>
      <c r="B11" s="91"/>
      <c r="C11" s="91"/>
      <c r="D11" s="358">
        <v>85</v>
      </c>
      <c r="E11" s="358">
        <v>3295253</v>
      </c>
      <c r="F11" s="359">
        <v>9019.8700000000008</v>
      </c>
      <c r="G11" s="360" t="s">
        <v>734</v>
      </c>
      <c r="H11" s="91"/>
      <c r="I11" s="91"/>
      <c r="J11" s="358">
        <v>85</v>
      </c>
      <c r="K11" s="358">
        <v>4948382</v>
      </c>
      <c r="L11" s="359">
        <v>10622.6</v>
      </c>
      <c r="M11" s="360" t="s">
        <v>734</v>
      </c>
      <c r="N11" s="91"/>
      <c r="O11" s="91"/>
      <c r="P11" s="358">
        <v>85</v>
      </c>
      <c r="Q11" s="358">
        <v>3641427</v>
      </c>
      <c r="R11" s="359">
        <v>9994.7000000000007</v>
      </c>
      <c r="S11" s="360" t="s">
        <v>734</v>
      </c>
      <c r="T11" s="91"/>
      <c r="U11" s="91"/>
      <c r="V11" s="358">
        <v>85</v>
      </c>
      <c r="W11" s="358">
        <v>4729628</v>
      </c>
      <c r="X11" s="359">
        <v>10534.37</v>
      </c>
      <c r="Y11" s="360" t="s">
        <v>734</v>
      </c>
      <c r="Z11" s="91"/>
      <c r="AA11" s="91"/>
      <c r="AB11" s="358">
        <v>85</v>
      </c>
      <c r="AC11" s="358">
        <v>4988800</v>
      </c>
      <c r="AD11" s="359">
        <v>11977.34</v>
      </c>
      <c r="AE11" s="360" t="s">
        <v>734</v>
      </c>
      <c r="AF11" s="91"/>
      <c r="AG11" s="91"/>
      <c r="AH11" s="358">
        <v>85</v>
      </c>
      <c r="AI11" s="358">
        <v>4060914</v>
      </c>
      <c r="AJ11" s="359">
        <v>8624.42</v>
      </c>
      <c r="AK11" s="360" t="s">
        <v>734</v>
      </c>
      <c r="AL11" s="91"/>
      <c r="AM11" s="91"/>
      <c r="AN11" s="358">
        <v>84</v>
      </c>
      <c r="AO11" s="358">
        <v>3664435</v>
      </c>
      <c r="AP11" s="359">
        <v>8681.64</v>
      </c>
      <c r="AQ11" s="360" t="s">
        <v>734</v>
      </c>
      <c r="AR11" s="91"/>
      <c r="AS11" s="91"/>
      <c r="AT11" s="358">
        <v>98</v>
      </c>
      <c r="AU11" s="358">
        <v>4072092</v>
      </c>
      <c r="AV11" s="359">
        <v>10239.24</v>
      </c>
      <c r="AW11" s="360" t="s">
        <v>734</v>
      </c>
      <c r="AX11" s="91"/>
      <c r="AY11" s="91"/>
      <c r="AZ11" s="358">
        <v>96</v>
      </c>
      <c r="BA11" s="358">
        <v>5739185</v>
      </c>
      <c r="BB11" s="359">
        <v>13623.37</v>
      </c>
      <c r="BC11" s="360" t="s">
        <v>734</v>
      </c>
      <c r="BD11" s="91"/>
      <c r="BE11" s="91"/>
      <c r="BF11" s="358">
        <v>97</v>
      </c>
      <c r="BG11" s="358">
        <v>4993277</v>
      </c>
      <c r="BH11" s="359">
        <v>13772.27</v>
      </c>
      <c r="BI11" s="360" t="s">
        <v>734</v>
      </c>
      <c r="BJ11" s="91"/>
      <c r="BK11" s="91"/>
      <c r="BL11" s="358">
        <v>98</v>
      </c>
      <c r="BM11" s="358">
        <v>4688012</v>
      </c>
      <c r="BN11" s="359">
        <v>12987.49</v>
      </c>
      <c r="BO11" s="360" t="s">
        <v>734</v>
      </c>
      <c r="BP11" s="91"/>
      <c r="BQ11" s="91"/>
      <c r="BR11" s="358">
        <v>100</v>
      </c>
      <c r="BS11" s="358">
        <v>4042156</v>
      </c>
      <c r="BT11" s="359">
        <v>12673.56</v>
      </c>
    </row>
    <row r="12" spans="1:72">
      <c r="A12" s="91"/>
      <c r="B12" s="91"/>
      <c r="C12" s="91"/>
      <c r="D12" s="9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row>
    <row r="13" spans="1:72">
      <c r="A13" s="357" t="s">
        <v>735</v>
      </c>
      <c r="B13" s="357" t="s">
        <v>736</v>
      </c>
      <c r="C13" s="91"/>
      <c r="D13" s="358">
        <v>230</v>
      </c>
      <c r="E13" s="358">
        <v>10245373</v>
      </c>
      <c r="F13" s="359">
        <v>23085.13</v>
      </c>
      <c r="G13" s="357" t="s">
        <v>735</v>
      </c>
      <c r="H13" s="357" t="s">
        <v>736</v>
      </c>
      <c r="I13" s="91"/>
      <c r="J13" s="358">
        <v>229</v>
      </c>
      <c r="K13" s="358">
        <v>13224734</v>
      </c>
      <c r="L13" s="359">
        <v>26284.98</v>
      </c>
      <c r="M13" s="357" t="s">
        <v>735</v>
      </c>
      <c r="N13" s="357" t="s">
        <v>736</v>
      </c>
      <c r="O13" s="91"/>
      <c r="P13" s="358">
        <v>229</v>
      </c>
      <c r="Q13" s="358">
        <v>9663674</v>
      </c>
      <c r="R13" s="359">
        <v>26223.88</v>
      </c>
      <c r="S13" s="357" t="s">
        <v>735</v>
      </c>
      <c r="T13" s="357" t="s">
        <v>736</v>
      </c>
      <c r="U13" s="91"/>
      <c r="V13" s="358">
        <v>231</v>
      </c>
      <c r="W13" s="358">
        <v>11912088</v>
      </c>
      <c r="X13" s="359">
        <v>25061.79</v>
      </c>
      <c r="Y13" s="357" t="s">
        <v>735</v>
      </c>
      <c r="Z13" s="357" t="s">
        <v>736</v>
      </c>
      <c r="AA13" s="91"/>
      <c r="AB13" s="358">
        <v>230</v>
      </c>
      <c r="AC13" s="358">
        <v>12379898</v>
      </c>
      <c r="AD13" s="359">
        <v>27074.34</v>
      </c>
      <c r="AE13" s="357" t="s">
        <v>735</v>
      </c>
      <c r="AF13" s="357" t="s">
        <v>736</v>
      </c>
      <c r="AG13" s="91"/>
      <c r="AH13" s="358">
        <v>230</v>
      </c>
      <c r="AI13" s="358">
        <v>12891918</v>
      </c>
      <c r="AJ13" s="359">
        <v>26971.75</v>
      </c>
      <c r="AK13" s="357" t="s">
        <v>735</v>
      </c>
      <c r="AL13" s="357" t="s">
        <v>736</v>
      </c>
      <c r="AM13" s="91"/>
      <c r="AN13" s="358">
        <v>230</v>
      </c>
      <c r="AO13" s="358">
        <v>11053645</v>
      </c>
      <c r="AP13" s="359">
        <v>26621.43</v>
      </c>
      <c r="AQ13" s="357" t="s">
        <v>735</v>
      </c>
      <c r="AR13" s="357" t="s">
        <v>736</v>
      </c>
      <c r="AS13" s="91"/>
      <c r="AT13" s="358">
        <v>223</v>
      </c>
      <c r="AU13" s="358">
        <v>12043429</v>
      </c>
      <c r="AV13" s="359">
        <v>27401.39</v>
      </c>
      <c r="AW13" s="357" t="s">
        <v>735</v>
      </c>
      <c r="AX13" s="357" t="s">
        <v>736</v>
      </c>
      <c r="AY13" s="91"/>
      <c r="AZ13" s="358">
        <v>227</v>
      </c>
      <c r="BA13" s="358">
        <v>12724216</v>
      </c>
      <c r="BB13" s="359">
        <v>27476.44</v>
      </c>
      <c r="BC13" s="357" t="s">
        <v>735</v>
      </c>
      <c r="BD13" s="357" t="s">
        <v>736</v>
      </c>
      <c r="BE13" s="91"/>
      <c r="BF13" s="358">
        <v>222</v>
      </c>
      <c r="BG13" s="358">
        <v>11365833</v>
      </c>
      <c r="BH13" s="359">
        <v>27526.61</v>
      </c>
      <c r="BI13" s="357" t="s">
        <v>735</v>
      </c>
      <c r="BJ13" s="357" t="s">
        <v>736</v>
      </c>
      <c r="BK13" s="91"/>
      <c r="BL13" s="358">
        <v>222</v>
      </c>
      <c r="BM13" s="358">
        <v>10358302</v>
      </c>
      <c r="BN13" s="359">
        <v>25653.119999999999</v>
      </c>
      <c r="BO13" s="357" t="s">
        <v>735</v>
      </c>
      <c r="BP13" s="357" t="s">
        <v>736</v>
      </c>
      <c r="BQ13" s="91"/>
      <c r="BR13" s="358">
        <v>222</v>
      </c>
      <c r="BS13" s="358">
        <v>9818902</v>
      </c>
      <c r="BT13" s="359">
        <v>24937.81</v>
      </c>
    </row>
    <row r="14" spans="1:72">
      <c r="A14" s="357" t="s">
        <v>737</v>
      </c>
      <c r="B14" s="357" t="s">
        <v>738</v>
      </c>
      <c r="C14" s="91"/>
      <c r="D14" s="358">
        <v>2</v>
      </c>
      <c r="E14" s="358">
        <v>745200</v>
      </c>
      <c r="F14" s="359">
        <v>1555.2</v>
      </c>
      <c r="G14" s="357" t="s">
        <v>737</v>
      </c>
      <c r="H14" s="357" t="s">
        <v>738</v>
      </c>
      <c r="I14" s="91"/>
      <c r="J14" s="358">
        <v>3</v>
      </c>
      <c r="K14" s="358">
        <v>1218576</v>
      </c>
      <c r="L14" s="359">
        <v>1948.51</v>
      </c>
      <c r="M14" s="357" t="s">
        <v>737</v>
      </c>
      <c r="N14" s="357" t="s">
        <v>738</v>
      </c>
      <c r="O14" s="91"/>
      <c r="P14" s="358">
        <v>3</v>
      </c>
      <c r="Q14" s="358">
        <v>877008</v>
      </c>
      <c r="R14" s="359">
        <v>1895.81</v>
      </c>
      <c r="S14" s="357" t="s">
        <v>737</v>
      </c>
      <c r="T14" s="357" t="s">
        <v>738</v>
      </c>
      <c r="U14" s="91"/>
      <c r="V14" s="358">
        <v>3</v>
      </c>
      <c r="W14" s="358">
        <v>860880</v>
      </c>
      <c r="X14" s="359">
        <v>1666.27</v>
      </c>
      <c r="Y14" s="357" t="s">
        <v>737</v>
      </c>
      <c r="Z14" s="357" t="s">
        <v>738</v>
      </c>
      <c r="AA14" s="91"/>
      <c r="AB14" s="358">
        <v>3</v>
      </c>
      <c r="AC14" s="358">
        <v>776016</v>
      </c>
      <c r="AD14" s="359">
        <v>1337.86</v>
      </c>
      <c r="AE14" s="357" t="s">
        <v>737</v>
      </c>
      <c r="AF14" s="357" t="s">
        <v>738</v>
      </c>
      <c r="AG14" s="91"/>
      <c r="AH14" s="358">
        <v>3</v>
      </c>
      <c r="AI14" s="358">
        <v>584112</v>
      </c>
      <c r="AJ14" s="359">
        <v>1298.4000000000001</v>
      </c>
      <c r="AK14" s="357" t="s">
        <v>737</v>
      </c>
      <c r="AL14" s="357" t="s">
        <v>738</v>
      </c>
      <c r="AM14" s="91"/>
      <c r="AN14" s="358">
        <v>3</v>
      </c>
      <c r="AO14" s="358">
        <v>493104</v>
      </c>
      <c r="AP14" s="359">
        <v>1020.77</v>
      </c>
      <c r="AQ14" s="357" t="s">
        <v>737</v>
      </c>
      <c r="AR14" s="357" t="s">
        <v>738</v>
      </c>
      <c r="AS14" s="91"/>
      <c r="AT14" s="358">
        <v>3</v>
      </c>
      <c r="AU14" s="358">
        <v>519168</v>
      </c>
      <c r="AV14" s="359">
        <v>1001.28</v>
      </c>
      <c r="AW14" s="357" t="s">
        <v>737</v>
      </c>
      <c r="AX14" s="357" t="s">
        <v>738</v>
      </c>
      <c r="AY14" s="91"/>
      <c r="AZ14" s="358">
        <v>3</v>
      </c>
      <c r="BA14" s="358">
        <v>549840</v>
      </c>
      <c r="BB14" s="359">
        <v>1001.86</v>
      </c>
      <c r="BC14" s="357" t="s">
        <v>737</v>
      </c>
      <c r="BD14" s="357" t="s">
        <v>738</v>
      </c>
      <c r="BE14" s="91"/>
      <c r="BF14" s="358">
        <v>3</v>
      </c>
      <c r="BG14" s="358">
        <v>626112</v>
      </c>
      <c r="BH14" s="359">
        <v>1292.54</v>
      </c>
      <c r="BI14" s="357" t="s">
        <v>737</v>
      </c>
      <c r="BJ14" s="357" t="s">
        <v>738</v>
      </c>
      <c r="BK14" s="91"/>
      <c r="BL14" s="358">
        <v>3</v>
      </c>
      <c r="BM14" s="358">
        <v>835392</v>
      </c>
      <c r="BN14" s="359">
        <v>1580.06</v>
      </c>
      <c r="BO14" s="357" t="s">
        <v>737</v>
      </c>
      <c r="BP14" s="357" t="s">
        <v>738</v>
      </c>
      <c r="BQ14" s="91"/>
      <c r="BR14" s="358">
        <v>3</v>
      </c>
      <c r="BS14" s="358">
        <v>919440</v>
      </c>
      <c r="BT14" s="359">
        <v>1754.4</v>
      </c>
    </row>
    <row r="15" spans="1:72">
      <c r="A15" s="360" t="s">
        <v>739</v>
      </c>
      <c r="B15" s="91"/>
      <c r="C15" s="91"/>
      <c r="D15" s="358">
        <v>232</v>
      </c>
      <c r="E15" s="358">
        <v>10990573</v>
      </c>
      <c r="F15" s="359">
        <v>24640.33</v>
      </c>
      <c r="G15" s="360" t="s">
        <v>739</v>
      </c>
      <c r="H15" s="91"/>
      <c r="I15" s="91"/>
      <c r="J15" s="358">
        <v>232</v>
      </c>
      <c r="K15" s="358">
        <v>14443310</v>
      </c>
      <c r="L15" s="359">
        <v>28233.49</v>
      </c>
      <c r="M15" s="360" t="s">
        <v>739</v>
      </c>
      <c r="N15" s="91"/>
      <c r="O15" s="91"/>
      <c r="P15" s="358">
        <v>232</v>
      </c>
      <c r="Q15" s="358">
        <v>10540682</v>
      </c>
      <c r="R15" s="359">
        <v>28119.69</v>
      </c>
      <c r="S15" s="360" t="s">
        <v>739</v>
      </c>
      <c r="T15" s="91"/>
      <c r="U15" s="91"/>
      <c r="V15" s="358">
        <v>234</v>
      </c>
      <c r="W15" s="358">
        <v>12772968</v>
      </c>
      <c r="X15" s="359">
        <v>26728.06</v>
      </c>
      <c r="Y15" s="360" t="s">
        <v>739</v>
      </c>
      <c r="Z15" s="91"/>
      <c r="AA15" s="91"/>
      <c r="AB15" s="358">
        <v>233</v>
      </c>
      <c r="AC15" s="358">
        <v>13155914</v>
      </c>
      <c r="AD15" s="359">
        <v>28412.2</v>
      </c>
      <c r="AE15" s="360" t="s">
        <v>739</v>
      </c>
      <c r="AF15" s="91"/>
      <c r="AG15" s="91"/>
      <c r="AH15" s="358">
        <v>233</v>
      </c>
      <c r="AI15" s="358">
        <v>13476030</v>
      </c>
      <c r="AJ15" s="359">
        <v>28270.15</v>
      </c>
      <c r="AK15" s="360" t="s">
        <v>739</v>
      </c>
      <c r="AL15" s="91"/>
      <c r="AM15" s="91"/>
      <c r="AN15" s="358">
        <v>233</v>
      </c>
      <c r="AO15" s="358">
        <v>11546749</v>
      </c>
      <c r="AP15" s="359">
        <v>27642.2</v>
      </c>
      <c r="AQ15" s="360" t="s">
        <v>739</v>
      </c>
      <c r="AR15" s="91"/>
      <c r="AS15" s="91"/>
      <c r="AT15" s="358">
        <v>226</v>
      </c>
      <c r="AU15" s="358">
        <v>12562597</v>
      </c>
      <c r="AV15" s="359">
        <v>28402.67</v>
      </c>
      <c r="AW15" s="360" t="s">
        <v>739</v>
      </c>
      <c r="AX15" s="91"/>
      <c r="AY15" s="91"/>
      <c r="AZ15" s="358">
        <v>230</v>
      </c>
      <c r="BA15" s="358">
        <v>13274056</v>
      </c>
      <c r="BB15" s="359">
        <v>28478.3</v>
      </c>
      <c r="BC15" s="360" t="s">
        <v>739</v>
      </c>
      <c r="BD15" s="91"/>
      <c r="BE15" s="91"/>
      <c r="BF15" s="358">
        <v>225</v>
      </c>
      <c r="BG15" s="358">
        <v>11991945</v>
      </c>
      <c r="BH15" s="359">
        <v>28819.15</v>
      </c>
      <c r="BI15" s="360" t="s">
        <v>739</v>
      </c>
      <c r="BJ15" s="91"/>
      <c r="BK15" s="91"/>
      <c r="BL15" s="358">
        <v>225</v>
      </c>
      <c r="BM15" s="358">
        <v>11193694</v>
      </c>
      <c r="BN15" s="359">
        <v>27233.18</v>
      </c>
      <c r="BO15" s="360" t="s">
        <v>739</v>
      </c>
      <c r="BP15" s="91"/>
      <c r="BQ15" s="91"/>
      <c r="BR15" s="358">
        <v>225</v>
      </c>
      <c r="BS15" s="358">
        <v>10738342</v>
      </c>
      <c r="BT15" s="359">
        <v>26692.21</v>
      </c>
    </row>
    <row r="16" spans="1:72">
      <c r="A16" s="91"/>
      <c r="B16" s="91"/>
      <c r="C16" s="91"/>
      <c r="D16" s="91"/>
      <c r="E16" s="92">
        <f>E11+E15</f>
        <v>14285826</v>
      </c>
      <c r="F16" s="91"/>
      <c r="G16" s="91"/>
      <c r="H16" s="91"/>
      <c r="I16" s="91"/>
      <c r="J16" s="91"/>
      <c r="K16" s="92">
        <f>K11+K15</f>
        <v>19391692</v>
      </c>
      <c r="L16" s="91"/>
      <c r="M16" s="91"/>
      <c r="N16" s="91"/>
      <c r="O16" s="91"/>
      <c r="P16" s="91"/>
      <c r="Q16" s="92">
        <f>Q11+Q15</f>
        <v>14182109</v>
      </c>
      <c r="R16" s="91"/>
      <c r="S16" s="91"/>
      <c r="T16" s="91"/>
      <c r="U16" s="91"/>
      <c r="V16" s="91"/>
      <c r="W16" s="92">
        <f>W11+W15</f>
        <v>17502596</v>
      </c>
      <c r="X16" s="91"/>
      <c r="Y16" s="91"/>
      <c r="Z16" s="91"/>
      <c r="AA16" s="91"/>
      <c r="AB16" s="91"/>
      <c r="AC16" s="92">
        <f>AC11+AC15</f>
        <v>18144714</v>
      </c>
      <c r="AD16" s="91"/>
      <c r="AE16" s="91"/>
      <c r="AF16" s="91"/>
      <c r="AG16" s="91"/>
      <c r="AH16" s="91"/>
      <c r="AI16" s="92">
        <f>AI11+AI15</f>
        <v>17536944</v>
      </c>
      <c r="AJ16" s="91"/>
      <c r="AK16" s="91"/>
      <c r="AL16" s="91"/>
      <c r="AM16" s="91"/>
      <c r="AN16" s="91"/>
      <c r="AO16" s="92">
        <f>AO11+AO15</f>
        <v>15211184</v>
      </c>
      <c r="AP16" s="91"/>
      <c r="AQ16" s="91"/>
      <c r="AR16" s="91"/>
      <c r="AS16" s="91"/>
      <c r="AT16" s="91"/>
      <c r="AU16" s="92">
        <f>AU11+AU15</f>
        <v>16634689</v>
      </c>
      <c r="AV16" s="91"/>
      <c r="AW16" s="91"/>
      <c r="AX16" s="91"/>
      <c r="AY16" s="91"/>
      <c r="AZ16" s="91"/>
      <c r="BA16" s="92">
        <f>BA11+BA15</f>
        <v>19013241</v>
      </c>
      <c r="BB16" s="91"/>
      <c r="BC16" s="91"/>
      <c r="BD16" s="91"/>
      <c r="BE16" s="91"/>
      <c r="BF16" s="91"/>
      <c r="BG16" s="92">
        <f>BG11+BG15</f>
        <v>16985222</v>
      </c>
      <c r="BH16" s="91"/>
      <c r="BI16" s="91"/>
      <c r="BJ16" s="91"/>
      <c r="BK16" s="91"/>
      <c r="BL16" s="91"/>
      <c r="BM16" s="92">
        <f>BM11+BM15</f>
        <v>15881706</v>
      </c>
      <c r="BN16" s="91"/>
      <c r="BO16" s="91"/>
      <c r="BP16" s="91"/>
      <c r="BQ16" s="91"/>
      <c r="BR16" s="91"/>
      <c r="BS16" s="92">
        <f>BS11+BS15</f>
        <v>14780498</v>
      </c>
      <c r="BT16" s="91"/>
    </row>
    <row r="17" spans="1:72">
      <c r="A17" s="357" t="s">
        <v>740</v>
      </c>
      <c r="B17" s="357" t="s">
        <v>741</v>
      </c>
      <c r="C17" s="91"/>
      <c r="D17" s="358">
        <v>4</v>
      </c>
      <c r="E17" s="358">
        <v>86360</v>
      </c>
      <c r="F17" s="359">
        <v>288.39999999999998</v>
      </c>
      <c r="G17" s="357" t="s">
        <v>740</v>
      </c>
      <c r="H17" s="357" t="s">
        <v>741</v>
      </c>
      <c r="I17" s="91"/>
      <c r="J17" s="358">
        <v>4</v>
      </c>
      <c r="K17" s="358">
        <v>131328</v>
      </c>
      <c r="L17" s="359">
        <v>367.76</v>
      </c>
      <c r="M17" s="357" t="s">
        <v>740</v>
      </c>
      <c r="N17" s="357" t="s">
        <v>741</v>
      </c>
      <c r="O17" s="91"/>
      <c r="P17" s="358">
        <v>4</v>
      </c>
      <c r="Q17" s="358">
        <v>95008</v>
      </c>
      <c r="R17" s="359">
        <v>361.76</v>
      </c>
      <c r="S17" s="357" t="s">
        <v>740</v>
      </c>
      <c r="T17" s="357" t="s">
        <v>741</v>
      </c>
      <c r="U17" s="91"/>
      <c r="V17" s="358">
        <v>4</v>
      </c>
      <c r="W17" s="358">
        <v>115312</v>
      </c>
      <c r="X17" s="359">
        <v>341.76</v>
      </c>
      <c r="Y17" s="357" t="s">
        <v>740</v>
      </c>
      <c r="Z17" s="357" t="s">
        <v>741</v>
      </c>
      <c r="AA17" s="91"/>
      <c r="AB17" s="358">
        <v>4</v>
      </c>
      <c r="AC17" s="358">
        <v>114592</v>
      </c>
      <c r="AD17" s="359">
        <v>339.68</v>
      </c>
      <c r="AE17" s="357" t="s">
        <v>740</v>
      </c>
      <c r="AF17" s="357" t="s">
        <v>741</v>
      </c>
      <c r="AG17" s="91"/>
      <c r="AH17" s="358">
        <v>4</v>
      </c>
      <c r="AI17" s="358">
        <v>99408</v>
      </c>
      <c r="AJ17" s="359">
        <v>223.2</v>
      </c>
      <c r="AK17" s="357" t="s">
        <v>740</v>
      </c>
      <c r="AL17" s="357" t="s">
        <v>741</v>
      </c>
      <c r="AM17" s="91"/>
      <c r="AN17" s="358">
        <v>4</v>
      </c>
      <c r="AO17" s="358">
        <v>92384</v>
      </c>
      <c r="AP17" s="359">
        <v>247.76</v>
      </c>
      <c r="AQ17" s="357" t="s">
        <v>740</v>
      </c>
      <c r="AR17" s="357" t="s">
        <v>741</v>
      </c>
      <c r="AS17" s="91"/>
      <c r="AT17" s="358">
        <v>4</v>
      </c>
      <c r="AU17" s="358">
        <v>96608</v>
      </c>
      <c r="AV17" s="359">
        <v>242.32</v>
      </c>
      <c r="AW17" s="357" t="s">
        <v>740</v>
      </c>
      <c r="AX17" s="357" t="s">
        <v>741</v>
      </c>
      <c r="AY17" s="91"/>
      <c r="AZ17" s="358">
        <v>4</v>
      </c>
      <c r="BA17" s="358">
        <v>108856</v>
      </c>
      <c r="BB17" s="359">
        <v>293.04000000000002</v>
      </c>
      <c r="BC17" s="357" t="s">
        <v>740</v>
      </c>
      <c r="BD17" s="357" t="s">
        <v>741</v>
      </c>
      <c r="BE17" s="91"/>
      <c r="BF17" s="358">
        <v>4</v>
      </c>
      <c r="BG17" s="358">
        <v>114904</v>
      </c>
      <c r="BH17" s="359">
        <v>308.72000000000003</v>
      </c>
      <c r="BI17" s="357" t="s">
        <v>740</v>
      </c>
      <c r="BJ17" s="357" t="s">
        <v>741</v>
      </c>
      <c r="BK17" s="91"/>
      <c r="BL17" s="358">
        <v>4</v>
      </c>
      <c r="BM17" s="358">
        <v>110584</v>
      </c>
      <c r="BN17" s="359">
        <v>291.04000000000002</v>
      </c>
      <c r="BO17" s="357" t="s">
        <v>740</v>
      </c>
      <c r="BP17" s="357" t="s">
        <v>741</v>
      </c>
      <c r="BQ17" s="91"/>
      <c r="BR17" s="358">
        <v>4</v>
      </c>
      <c r="BS17" s="358">
        <v>105896</v>
      </c>
      <c r="BT17" s="359">
        <v>302.08</v>
      </c>
    </row>
    <row r="18" spans="1:72">
      <c r="A18" s="357" t="s">
        <v>742</v>
      </c>
      <c r="B18" s="357" t="s">
        <v>743</v>
      </c>
      <c r="C18" s="91"/>
      <c r="D18" s="358">
        <v>2</v>
      </c>
      <c r="E18" s="358">
        <v>415776</v>
      </c>
      <c r="F18" s="359">
        <v>861.12</v>
      </c>
      <c r="G18" s="357" t="s">
        <v>742</v>
      </c>
      <c r="H18" s="357" t="s">
        <v>743</v>
      </c>
      <c r="I18" s="91"/>
      <c r="J18" s="358">
        <v>2</v>
      </c>
      <c r="K18" s="358">
        <v>559104</v>
      </c>
      <c r="L18" s="359">
        <v>991.68</v>
      </c>
      <c r="M18" s="357" t="s">
        <v>742</v>
      </c>
      <c r="N18" s="357" t="s">
        <v>743</v>
      </c>
      <c r="O18" s="91"/>
      <c r="P18" s="358">
        <v>2</v>
      </c>
      <c r="Q18" s="358">
        <v>449952</v>
      </c>
      <c r="R18" s="359">
        <v>979.68</v>
      </c>
      <c r="S18" s="357" t="s">
        <v>742</v>
      </c>
      <c r="T18" s="357" t="s">
        <v>743</v>
      </c>
      <c r="U18" s="91"/>
      <c r="V18" s="358">
        <v>2</v>
      </c>
      <c r="W18" s="358">
        <v>478176</v>
      </c>
      <c r="X18" s="359">
        <v>925.44</v>
      </c>
      <c r="Y18" s="357" t="s">
        <v>742</v>
      </c>
      <c r="Z18" s="357" t="s">
        <v>743</v>
      </c>
      <c r="AA18" s="91"/>
      <c r="AB18" s="358">
        <v>2</v>
      </c>
      <c r="AC18" s="358">
        <v>497184</v>
      </c>
      <c r="AD18" s="359">
        <v>1089.1199999999999</v>
      </c>
      <c r="AE18" s="357" t="s">
        <v>742</v>
      </c>
      <c r="AF18" s="357" t="s">
        <v>743</v>
      </c>
      <c r="AG18" s="91"/>
      <c r="AH18" s="358">
        <v>2</v>
      </c>
      <c r="AI18" s="358">
        <v>444576</v>
      </c>
      <c r="AJ18" s="359">
        <v>1005.6</v>
      </c>
      <c r="AK18" s="357" t="s">
        <v>742</v>
      </c>
      <c r="AL18" s="357" t="s">
        <v>743</v>
      </c>
      <c r="AM18" s="91"/>
      <c r="AN18" s="358">
        <v>2</v>
      </c>
      <c r="AO18" s="358">
        <v>484896</v>
      </c>
      <c r="AP18" s="359">
        <v>1114.56</v>
      </c>
      <c r="AQ18" s="357" t="s">
        <v>742</v>
      </c>
      <c r="AR18" s="357" t="s">
        <v>743</v>
      </c>
      <c r="AS18" s="91"/>
      <c r="AT18" s="358">
        <v>2</v>
      </c>
      <c r="AU18" s="358">
        <v>539232</v>
      </c>
      <c r="AV18" s="359">
        <v>1114.56</v>
      </c>
      <c r="AW18" s="357" t="s">
        <v>742</v>
      </c>
      <c r="AX18" s="357" t="s">
        <v>743</v>
      </c>
      <c r="AY18" s="91"/>
      <c r="AZ18" s="358">
        <v>2</v>
      </c>
      <c r="BA18" s="358">
        <v>532128</v>
      </c>
      <c r="BB18" s="359">
        <v>1120.8</v>
      </c>
      <c r="BC18" s="357" t="s">
        <v>742</v>
      </c>
      <c r="BD18" s="357" t="s">
        <v>743</v>
      </c>
      <c r="BE18" s="91"/>
      <c r="BF18" s="358">
        <v>2</v>
      </c>
      <c r="BG18" s="358">
        <v>465696</v>
      </c>
      <c r="BH18" s="359">
        <v>1060.32</v>
      </c>
      <c r="BI18" s="357" t="s">
        <v>742</v>
      </c>
      <c r="BJ18" s="357" t="s">
        <v>743</v>
      </c>
      <c r="BK18" s="91"/>
      <c r="BL18" s="358">
        <v>2</v>
      </c>
      <c r="BM18" s="358">
        <v>486528</v>
      </c>
      <c r="BN18" s="359">
        <v>927.36</v>
      </c>
      <c r="BO18" s="357" t="s">
        <v>742</v>
      </c>
      <c r="BP18" s="357" t="s">
        <v>743</v>
      </c>
      <c r="BQ18" s="91"/>
      <c r="BR18" s="358">
        <v>2</v>
      </c>
      <c r="BS18" s="358">
        <v>429984</v>
      </c>
      <c r="BT18" s="359">
        <v>917.76</v>
      </c>
    </row>
    <row r="19" spans="1:72">
      <c r="A19" s="357" t="s">
        <v>744</v>
      </c>
      <c r="B19" s="357" t="s">
        <v>745</v>
      </c>
      <c r="C19" s="91"/>
      <c r="D19" s="358">
        <v>97</v>
      </c>
      <c r="E19" s="358">
        <v>1373257</v>
      </c>
      <c r="F19" s="359">
        <v>4585.6099999999997</v>
      </c>
      <c r="G19" s="357" t="s">
        <v>744</v>
      </c>
      <c r="H19" s="357" t="s">
        <v>745</v>
      </c>
      <c r="I19" s="91"/>
      <c r="J19" s="358">
        <v>95</v>
      </c>
      <c r="K19" s="358">
        <v>1935125</v>
      </c>
      <c r="L19" s="359">
        <v>4762.93</v>
      </c>
      <c r="M19" s="357" t="s">
        <v>744</v>
      </c>
      <c r="N19" s="357" t="s">
        <v>745</v>
      </c>
      <c r="O19" s="91"/>
      <c r="P19" s="358">
        <v>49</v>
      </c>
      <c r="Q19" s="358">
        <v>679097</v>
      </c>
      <c r="R19" s="359">
        <v>2370.31</v>
      </c>
      <c r="S19" s="357" t="s">
        <v>744</v>
      </c>
      <c r="T19" s="357" t="s">
        <v>745</v>
      </c>
      <c r="U19" s="91"/>
      <c r="V19" s="358">
        <v>96</v>
      </c>
      <c r="W19" s="358">
        <v>1652375</v>
      </c>
      <c r="X19" s="359">
        <v>4457.25</v>
      </c>
      <c r="Y19" s="357" t="s">
        <v>744</v>
      </c>
      <c r="Z19" s="357" t="s">
        <v>745</v>
      </c>
      <c r="AA19" s="91"/>
      <c r="AB19" s="358">
        <v>99</v>
      </c>
      <c r="AC19" s="358">
        <v>1610436</v>
      </c>
      <c r="AD19" s="359">
        <v>4839.26</v>
      </c>
      <c r="AE19" s="357" t="s">
        <v>744</v>
      </c>
      <c r="AF19" s="357" t="s">
        <v>745</v>
      </c>
      <c r="AG19" s="91"/>
      <c r="AH19" s="358">
        <v>94</v>
      </c>
      <c r="AI19" s="358">
        <v>1441793</v>
      </c>
      <c r="AJ19" s="359">
        <v>4298.25</v>
      </c>
      <c r="AK19" s="357" t="s">
        <v>744</v>
      </c>
      <c r="AL19" s="357" t="s">
        <v>745</v>
      </c>
      <c r="AM19" s="91"/>
      <c r="AN19" s="358">
        <v>95</v>
      </c>
      <c r="AO19" s="358">
        <v>1464421</v>
      </c>
      <c r="AP19" s="359">
        <v>4260.42</v>
      </c>
      <c r="AQ19" s="357" t="s">
        <v>744</v>
      </c>
      <c r="AR19" s="357" t="s">
        <v>745</v>
      </c>
      <c r="AS19" s="91"/>
      <c r="AT19" s="358">
        <v>93</v>
      </c>
      <c r="AU19" s="358">
        <v>1597778</v>
      </c>
      <c r="AV19" s="359">
        <v>4290.2</v>
      </c>
      <c r="AW19" s="357" t="s">
        <v>744</v>
      </c>
      <c r="AX19" s="357" t="s">
        <v>745</v>
      </c>
      <c r="AY19" s="91"/>
      <c r="AZ19" s="358">
        <v>95</v>
      </c>
      <c r="BA19" s="358">
        <v>1490897</v>
      </c>
      <c r="BB19" s="359">
        <v>4411.93</v>
      </c>
      <c r="BC19" s="357" t="s">
        <v>744</v>
      </c>
      <c r="BD19" s="357" t="s">
        <v>745</v>
      </c>
      <c r="BE19" s="91"/>
      <c r="BF19" s="358">
        <v>93</v>
      </c>
      <c r="BG19" s="358">
        <v>1417015</v>
      </c>
      <c r="BH19" s="359">
        <v>4351.0600000000004</v>
      </c>
      <c r="BI19" s="357" t="s">
        <v>744</v>
      </c>
      <c r="BJ19" s="357" t="s">
        <v>745</v>
      </c>
      <c r="BK19" s="91"/>
      <c r="BL19" s="358">
        <v>93</v>
      </c>
      <c r="BM19" s="358">
        <v>1383543</v>
      </c>
      <c r="BN19" s="359">
        <v>4299.05</v>
      </c>
      <c r="BO19" s="357" t="s">
        <v>744</v>
      </c>
      <c r="BP19" s="357" t="s">
        <v>745</v>
      </c>
      <c r="BQ19" s="91"/>
      <c r="BR19" s="358">
        <v>93</v>
      </c>
      <c r="BS19" s="358">
        <v>1325540</v>
      </c>
      <c r="BT19" s="359">
        <v>4316.0600000000004</v>
      </c>
    </row>
    <row r="20" spans="1:72">
      <c r="A20" s="357" t="s">
        <v>746</v>
      </c>
      <c r="B20" s="357" t="s">
        <v>747</v>
      </c>
      <c r="C20" s="91"/>
      <c r="D20" s="358">
        <v>23</v>
      </c>
      <c r="E20" s="358">
        <v>1555764</v>
      </c>
      <c r="F20" s="359">
        <v>4284.58</v>
      </c>
      <c r="G20" s="357" t="s">
        <v>746</v>
      </c>
      <c r="H20" s="357" t="s">
        <v>747</v>
      </c>
      <c r="I20" s="91"/>
      <c r="J20" s="358">
        <v>23</v>
      </c>
      <c r="K20" s="358">
        <v>2412127</v>
      </c>
      <c r="L20" s="359">
        <v>4473.8900000000003</v>
      </c>
      <c r="M20" s="357" t="s">
        <v>746</v>
      </c>
      <c r="N20" s="357" t="s">
        <v>747</v>
      </c>
      <c r="O20" s="91"/>
      <c r="P20" s="358">
        <v>23</v>
      </c>
      <c r="Q20" s="358">
        <v>1295817</v>
      </c>
      <c r="R20" s="359">
        <v>4237.53</v>
      </c>
      <c r="S20" s="357" t="s">
        <v>746</v>
      </c>
      <c r="T20" s="357" t="s">
        <v>747</v>
      </c>
      <c r="U20" s="91"/>
      <c r="V20" s="358">
        <v>23</v>
      </c>
      <c r="W20" s="358">
        <v>1632610</v>
      </c>
      <c r="X20" s="359">
        <v>3760.51</v>
      </c>
      <c r="Y20" s="357" t="s">
        <v>746</v>
      </c>
      <c r="Z20" s="357" t="s">
        <v>747</v>
      </c>
      <c r="AA20" s="91"/>
      <c r="AB20" s="358">
        <v>23</v>
      </c>
      <c r="AC20" s="358">
        <v>1524660</v>
      </c>
      <c r="AD20" s="359">
        <v>3675.46</v>
      </c>
      <c r="AE20" s="357" t="s">
        <v>746</v>
      </c>
      <c r="AF20" s="357" t="s">
        <v>747</v>
      </c>
      <c r="AG20" s="91"/>
      <c r="AH20" s="358">
        <v>23</v>
      </c>
      <c r="AI20" s="358">
        <v>1828733</v>
      </c>
      <c r="AJ20" s="359">
        <v>4066.46</v>
      </c>
      <c r="AK20" s="357" t="s">
        <v>746</v>
      </c>
      <c r="AL20" s="357" t="s">
        <v>747</v>
      </c>
      <c r="AM20" s="91"/>
      <c r="AN20" s="358">
        <v>23</v>
      </c>
      <c r="AO20" s="358">
        <v>1609447</v>
      </c>
      <c r="AP20" s="359">
        <v>4069.16</v>
      </c>
      <c r="AQ20" s="357" t="s">
        <v>746</v>
      </c>
      <c r="AR20" s="357" t="s">
        <v>747</v>
      </c>
      <c r="AS20" s="91"/>
      <c r="AT20" s="358">
        <v>24</v>
      </c>
      <c r="AU20" s="358">
        <v>1762854</v>
      </c>
      <c r="AV20" s="359">
        <v>4292.1499999999996</v>
      </c>
      <c r="AW20" s="357" t="s">
        <v>746</v>
      </c>
      <c r="AX20" s="357" t="s">
        <v>747</v>
      </c>
      <c r="AY20" s="91"/>
      <c r="AZ20" s="358">
        <v>25</v>
      </c>
      <c r="BA20" s="358">
        <v>1808267</v>
      </c>
      <c r="BB20" s="359">
        <v>4236.58</v>
      </c>
      <c r="BC20" s="357" t="s">
        <v>746</v>
      </c>
      <c r="BD20" s="357" t="s">
        <v>747</v>
      </c>
      <c r="BE20" s="91"/>
      <c r="BF20" s="358">
        <v>25</v>
      </c>
      <c r="BG20" s="358">
        <v>1797175</v>
      </c>
      <c r="BH20" s="359">
        <v>4150.9399999999996</v>
      </c>
      <c r="BI20" s="357" t="s">
        <v>746</v>
      </c>
      <c r="BJ20" s="357" t="s">
        <v>747</v>
      </c>
      <c r="BK20" s="91"/>
      <c r="BL20" s="358">
        <v>25</v>
      </c>
      <c r="BM20" s="358">
        <v>1621720</v>
      </c>
      <c r="BN20" s="359">
        <v>3925.15</v>
      </c>
      <c r="BO20" s="357" t="s">
        <v>746</v>
      </c>
      <c r="BP20" s="357" t="s">
        <v>747</v>
      </c>
      <c r="BQ20" s="91"/>
      <c r="BR20" s="358">
        <v>25</v>
      </c>
      <c r="BS20" s="358">
        <v>1840322</v>
      </c>
      <c r="BT20" s="359">
        <v>4565.38</v>
      </c>
    </row>
    <row r="21" spans="1:72">
      <c r="A21" s="357" t="s">
        <v>748</v>
      </c>
      <c r="B21" s="357" t="s">
        <v>749</v>
      </c>
      <c r="C21" s="91"/>
      <c r="D21" s="358">
        <v>566</v>
      </c>
      <c r="E21" s="358">
        <v>950406</v>
      </c>
      <c r="F21" s="359">
        <v>2722.05</v>
      </c>
      <c r="G21" s="357" t="s">
        <v>748</v>
      </c>
      <c r="H21" s="357" t="s">
        <v>749</v>
      </c>
      <c r="I21" s="91"/>
      <c r="J21" s="358">
        <v>562</v>
      </c>
      <c r="K21" s="358">
        <v>1312598</v>
      </c>
      <c r="L21" s="359">
        <v>2879.4</v>
      </c>
      <c r="M21" s="357" t="s">
        <v>748</v>
      </c>
      <c r="N21" s="357" t="s">
        <v>749</v>
      </c>
      <c r="O21" s="91"/>
      <c r="P21" s="358">
        <v>328</v>
      </c>
      <c r="Q21" s="358">
        <v>598703</v>
      </c>
      <c r="R21" s="359">
        <v>1814.66</v>
      </c>
      <c r="S21" s="357" t="s">
        <v>748</v>
      </c>
      <c r="T21" s="357" t="s">
        <v>749</v>
      </c>
      <c r="U21" s="91"/>
      <c r="V21" s="358">
        <v>567</v>
      </c>
      <c r="W21" s="358">
        <v>1007051</v>
      </c>
      <c r="X21" s="359">
        <v>3130.83</v>
      </c>
      <c r="Y21" s="357" t="s">
        <v>748</v>
      </c>
      <c r="Z21" s="357" t="s">
        <v>749</v>
      </c>
      <c r="AA21" s="91"/>
      <c r="AB21" s="358">
        <v>562</v>
      </c>
      <c r="AC21" s="358">
        <v>954566</v>
      </c>
      <c r="AD21" s="359">
        <v>2949.77</v>
      </c>
      <c r="AE21" s="357" t="s">
        <v>748</v>
      </c>
      <c r="AF21" s="357" t="s">
        <v>749</v>
      </c>
      <c r="AG21" s="91"/>
      <c r="AH21" s="358">
        <v>563</v>
      </c>
      <c r="AI21" s="358">
        <v>1038478</v>
      </c>
      <c r="AJ21" s="359">
        <v>3173.72</v>
      </c>
      <c r="AK21" s="357" t="s">
        <v>748</v>
      </c>
      <c r="AL21" s="357" t="s">
        <v>749</v>
      </c>
      <c r="AM21" s="91"/>
      <c r="AN21" s="358">
        <v>564</v>
      </c>
      <c r="AO21" s="358">
        <v>1161342</v>
      </c>
      <c r="AP21" s="359">
        <v>3159.13</v>
      </c>
      <c r="AQ21" s="357" t="s">
        <v>748</v>
      </c>
      <c r="AR21" s="357" t="s">
        <v>749</v>
      </c>
      <c r="AS21" s="91"/>
      <c r="AT21" s="358">
        <v>553</v>
      </c>
      <c r="AU21" s="358">
        <v>1100857</v>
      </c>
      <c r="AV21" s="359">
        <v>2836.98</v>
      </c>
      <c r="AW21" s="357" t="s">
        <v>748</v>
      </c>
      <c r="AX21" s="357" t="s">
        <v>749</v>
      </c>
      <c r="AY21" s="91"/>
      <c r="AZ21" s="358">
        <v>557</v>
      </c>
      <c r="BA21" s="358">
        <v>933231</v>
      </c>
      <c r="BB21" s="359">
        <v>2412.0100000000002</v>
      </c>
      <c r="BC21" s="357" t="s">
        <v>748</v>
      </c>
      <c r="BD21" s="357" t="s">
        <v>749</v>
      </c>
      <c r="BE21" s="91"/>
      <c r="BF21" s="358">
        <v>549</v>
      </c>
      <c r="BG21" s="358">
        <v>825851</v>
      </c>
      <c r="BH21" s="359">
        <v>2554.29</v>
      </c>
      <c r="BI21" s="357" t="s">
        <v>748</v>
      </c>
      <c r="BJ21" s="357" t="s">
        <v>749</v>
      </c>
      <c r="BK21" s="91"/>
      <c r="BL21" s="358">
        <v>551</v>
      </c>
      <c r="BM21" s="358">
        <v>846052</v>
      </c>
      <c r="BN21" s="359">
        <v>2587.0700000000002</v>
      </c>
      <c r="BO21" s="357" t="s">
        <v>748</v>
      </c>
      <c r="BP21" s="357" t="s">
        <v>749</v>
      </c>
      <c r="BQ21" s="91"/>
      <c r="BR21" s="358">
        <v>553</v>
      </c>
      <c r="BS21" s="358">
        <v>917731</v>
      </c>
      <c r="BT21" s="359">
        <v>2907.74</v>
      </c>
    </row>
    <row r="22" spans="1:72">
      <c r="A22" s="357" t="s">
        <v>750</v>
      </c>
      <c r="B22" s="357" t="s">
        <v>751</v>
      </c>
      <c r="C22" s="91"/>
      <c r="D22" s="358">
        <v>52</v>
      </c>
      <c r="E22" s="358">
        <v>10239</v>
      </c>
      <c r="F22" s="359">
        <v>0</v>
      </c>
      <c r="G22" s="357" t="s">
        <v>750</v>
      </c>
      <c r="H22" s="357" t="s">
        <v>751</v>
      </c>
      <c r="I22" s="91"/>
      <c r="J22" s="358">
        <v>52</v>
      </c>
      <c r="K22" s="358">
        <v>10239</v>
      </c>
      <c r="L22" s="359">
        <v>0</v>
      </c>
      <c r="M22" s="357" t="s">
        <v>750</v>
      </c>
      <c r="N22" s="357" t="s">
        <v>751</v>
      </c>
      <c r="O22" s="91"/>
      <c r="P22" s="358">
        <v>52</v>
      </c>
      <c r="Q22" s="358">
        <v>10239</v>
      </c>
      <c r="R22" s="359">
        <v>0</v>
      </c>
      <c r="S22" s="357" t="s">
        <v>750</v>
      </c>
      <c r="T22" s="357" t="s">
        <v>751</v>
      </c>
      <c r="U22" s="91"/>
      <c r="V22" s="358">
        <v>52</v>
      </c>
      <c r="W22" s="358">
        <v>10239</v>
      </c>
      <c r="X22" s="359">
        <v>0</v>
      </c>
      <c r="Y22" s="357" t="s">
        <v>750</v>
      </c>
      <c r="Z22" s="357" t="s">
        <v>751</v>
      </c>
      <c r="AA22" s="91"/>
      <c r="AB22" s="358">
        <v>52</v>
      </c>
      <c r="AC22" s="358">
        <v>10239</v>
      </c>
      <c r="AD22" s="359">
        <v>0</v>
      </c>
      <c r="AE22" s="357" t="s">
        <v>750</v>
      </c>
      <c r="AF22" s="357" t="s">
        <v>751</v>
      </c>
      <c r="AG22" s="91"/>
      <c r="AH22" s="358">
        <v>52</v>
      </c>
      <c r="AI22" s="358">
        <v>10239</v>
      </c>
      <c r="AJ22" s="359">
        <v>0</v>
      </c>
      <c r="AK22" s="357" t="s">
        <v>750</v>
      </c>
      <c r="AL22" s="357" t="s">
        <v>751</v>
      </c>
      <c r="AM22" s="91"/>
      <c r="AN22" s="358">
        <v>52</v>
      </c>
      <c r="AO22" s="358">
        <v>10239</v>
      </c>
      <c r="AP22" s="359">
        <v>0</v>
      </c>
      <c r="AQ22" s="357" t="s">
        <v>750</v>
      </c>
      <c r="AR22" s="357" t="s">
        <v>751</v>
      </c>
      <c r="AS22" s="91"/>
      <c r="AT22" s="358">
        <v>52</v>
      </c>
      <c r="AU22" s="358">
        <v>10239</v>
      </c>
      <c r="AV22" s="359">
        <v>0</v>
      </c>
      <c r="AW22" s="357" t="s">
        <v>750</v>
      </c>
      <c r="AX22" s="357" t="s">
        <v>751</v>
      </c>
      <c r="AY22" s="91"/>
      <c r="AZ22" s="358">
        <v>52</v>
      </c>
      <c r="BA22" s="358">
        <v>10239</v>
      </c>
      <c r="BB22" s="359">
        <v>0</v>
      </c>
      <c r="BC22" s="357" t="s">
        <v>750</v>
      </c>
      <c r="BD22" s="357" t="s">
        <v>751</v>
      </c>
      <c r="BE22" s="91"/>
      <c r="BF22" s="358">
        <v>53</v>
      </c>
      <c r="BG22" s="358">
        <v>10676</v>
      </c>
      <c r="BH22" s="359">
        <v>0</v>
      </c>
      <c r="BI22" s="357" t="s">
        <v>750</v>
      </c>
      <c r="BJ22" s="357" t="s">
        <v>751</v>
      </c>
      <c r="BK22" s="91"/>
      <c r="BL22" s="358">
        <v>53</v>
      </c>
      <c r="BM22" s="358">
        <v>10540</v>
      </c>
      <c r="BN22" s="359">
        <v>0</v>
      </c>
      <c r="BO22" s="357" t="s">
        <v>750</v>
      </c>
      <c r="BP22" s="357" t="s">
        <v>751</v>
      </c>
      <c r="BQ22" s="91"/>
      <c r="BR22" s="358">
        <v>53</v>
      </c>
      <c r="BS22" s="358">
        <v>10542</v>
      </c>
      <c r="BT22" s="359">
        <v>0</v>
      </c>
    </row>
    <row r="23" spans="1:72">
      <c r="A23" s="357" t="s">
        <v>752</v>
      </c>
      <c r="B23" s="357" t="s">
        <v>753</v>
      </c>
      <c r="C23" s="91"/>
      <c r="D23" s="358">
        <v>2</v>
      </c>
      <c r="E23" s="358">
        <v>813600</v>
      </c>
      <c r="F23" s="359">
        <v>1853.52</v>
      </c>
      <c r="G23" s="357" t="s">
        <v>752</v>
      </c>
      <c r="H23" s="357" t="s">
        <v>753</v>
      </c>
      <c r="I23" s="91"/>
      <c r="J23" s="358">
        <v>2</v>
      </c>
      <c r="K23" s="358">
        <v>1160400</v>
      </c>
      <c r="L23" s="359">
        <v>1825.56</v>
      </c>
      <c r="M23" s="357" t="s">
        <v>752</v>
      </c>
      <c r="N23" s="357" t="s">
        <v>753</v>
      </c>
      <c r="O23" s="91"/>
      <c r="P23" s="358">
        <v>0</v>
      </c>
      <c r="Q23" s="358">
        <v>0</v>
      </c>
      <c r="R23" s="359">
        <v>0</v>
      </c>
      <c r="S23" s="357" t="s">
        <v>752</v>
      </c>
      <c r="T23" s="357" t="s">
        <v>753</v>
      </c>
      <c r="U23" s="91"/>
      <c r="V23" s="358">
        <v>2</v>
      </c>
      <c r="W23" s="358">
        <v>1220640</v>
      </c>
      <c r="X23" s="359">
        <v>1875.48</v>
      </c>
      <c r="Y23" s="357" t="s">
        <v>752</v>
      </c>
      <c r="Z23" s="357" t="s">
        <v>753</v>
      </c>
      <c r="AA23" s="91"/>
      <c r="AB23" s="358">
        <v>5</v>
      </c>
      <c r="AC23" s="358">
        <v>1077360</v>
      </c>
      <c r="AD23" s="359">
        <v>2721.18</v>
      </c>
      <c r="AE23" s="357" t="s">
        <v>752</v>
      </c>
      <c r="AF23" s="357" t="s">
        <v>753</v>
      </c>
      <c r="AG23" s="91"/>
      <c r="AH23" s="358">
        <v>5</v>
      </c>
      <c r="AI23" s="358">
        <v>1159160</v>
      </c>
      <c r="AJ23" s="359">
        <v>2266.9</v>
      </c>
      <c r="AK23" s="357" t="s">
        <v>752</v>
      </c>
      <c r="AL23" s="357" t="s">
        <v>753</v>
      </c>
      <c r="AM23" s="91"/>
      <c r="AN23" s="358">
        <v>5</v>
      </c>
      <c r="AO23" s="358">
        <v>1104320</v>
      </c>
      <c r="AP23" s="359">
        <v>2441.04</v>
      </c>
      <c r="AQ23" s="357" t="s">
        <v>752</v>
      </c>
      <c r="AR23" s="357" t="s">
        <v>753</v>
      </c>
      <c r="AS23" s="91"/>
      <c r="AT23" s="358">
        <v>5</v>
      </c>
      <c r="AU23" s="358">
        <v>1264240</v>
      </c>
      <c r="AV23" s="359">
        <v>2433.86</v>
      </c>
      <c r="AW23" s="357" t="s">
        <v>752</v>
      </c>
      <c r="AX23" s="357" t="s">
        <v>753</v>
      </c>
      <c r="AY23" s="91"/>
      <c r="AZ23" s="358">
        <v>5</v>
      </c>
      <c r="BA23" s="358">
        <v>1176520</v>
      </c>
      <c r="BB23" s="359">
        <v>2546.86</v>
      </c>
      <c r="BC23" s="357" t="s">
        <v>752</v>
      </c>
      <c r="BD23" s="357" t="s">
        <v>753</v>
      </c>
      <c r="BE23" s="91"/>
      <c r="BF23" s="358">
        <v>5</v>
      </c>
      <c r="BG23" s="358">
        <v>1205200</v>
      </c>
      <c r="BH23" s="359">
        <v>2461.84</v>
      </c>
      <c r="BI23" s="357" t="s">
        <v>752</v>
      </c>
      <c r="BJ23" s="357" t="s">
        <v>753</v>
      </c>
      <c r="BK23" s="91"/>
      <c r="BL23" s="358">
        <v>5</v>
      </c>
      <c r="BM23" s="358">
        <v>1156080</v>
      </c>
      <c r="BN23" s="359">
        <v>2377.96</v>
      </c>
      <c r="BO23" s="357" t="s">
        <v>752</v>
      </c>
      <c r="BP23" s="357" t="s">
        <v>753</v>
      </c>
      <c r="BQ23" s="91"/>
      <c r="BR23" s="358">
        <v>5</v>
      </c>
      <c r="BS23" s="358">
        <v>1103900</v>
      </c>
      <c r="BT23" s="359">
        <v>2156</v>
      </c>
    </row>
    <row r="24" spans="1:72">
      <c r="A24" s="357" t="s">
        <v>754</v>
      </c>
      <c r="B24" s="357" t="s">
        <v>755</v>
      </c>
      <c r="C24" s="91"/>
      <c r="D24" s="358">
        <v>45</v>
      </c>
      <c r="E24" s="358">
        <v>225804</v>
      </c>
      <c r="F24" s="359">
        <v>481.35</v>
      </c>
      <c r="G24" s="357" t="s">
        <v>754</v>
      </c>
      <c r="H24" s="357" t="s">
        <v>755</v>
      </c>
      <c r="I24" s="91"/>
      <c r="J24" s="358">
        <v>45</v>
      </c>
      <c r="K24" s="358">
        <v>299185</v>
      </c>
      <c r="L24" s="359">
        <v>445.94</v>
      </c>
      <c r="M24" s="357" t="s">
        <v>754</v>
      </c>
      <c r="N24" s="357" t="s">
        <v>755</v>
      </c>
      <c r="O24" s="91"/>
      <c r="P24" s="358">
        <v>29</v>
      </c>
      <c r="Q24" s="358">
        <v>137898</v>
      </c>
      <c r="R24" s="359">
        <v>323.83999999999997</v>
      </c>
      <c r="S24" s="357" t="s">
        <v>754</v>
      </c>
      <c r="T24" s="357" t="s">
        <v>755</v>
      </c>
      <c r="U24" s="91"/>
      <c r="V24" s="358">
        <v>47</v>
      </c>
      <c r="W24" s="358">
        <v>252870</v>
      </c>
      <c r="X24" s="359">
        <v>511.53</v>
      </c>
      <c r="Y24" s="357" t="s">
        <v>754</v>
      </c>
      <c r="Z24" s="357" t="s">
        <v>755</v>
      </c>
      <c r="AA24" s="91"/>
      <c r="AB24" s="358">
        <v>47</v>
      </c>
      <c r="AC24" s="358">
        <v>224525</v>
      </c>
      <c r="AD24" s="359">
        <v>511.29</v>
      </c>
      <c r="AE24" s="357" t="s">
        <v>754</v>
      </c>
      <c r="AF24" s="357" t="s">
        <v>755</v>
      </c>
      <c r="AG24" s="91"/>
      <c r="AH24" s="358">
        <v>49</v>
      </c>
      <c r="AI24" s="358">
        <v>226946</v>
      </c>
      <c r="AJ24" s="359">
        <v>546.63</v>
      </c>
      <c r="AK24" s="357" t="s">
        <v>754</v>
      </c>
      <c r="AL24" s="357" t="s">
        <v>755</v>
      </c>
      <c r="AM24" s="91"/>
      <c r="AN24" s="358">
        <v>47</v>
      </c>
      <c r="AO24" s="358">
        <v>240933</v>
      </c>
      <c r="AP24" s="359">
        <v>510.43</v>
      </c>
      <c r="AQ24" s="357" t="s">
        <v>754</v>
      </c>
      <c r="AR24" s="357" t="s">
        <v>755</v>
      </c>
      <c r="AS24" s="91"/>
      <c r="AT24" s="358">
        <v>47</v>
      </c>
      <c r="AU24" s="358">
        <v>245928</v>
      </c>
      <c r="AV24" s="359">
        <v>525.67999999999995</v>
      </c>
      <c r="AW24" s="357" t="s">
        <v>754</v>
      </c>
      <c r="AX24" s="357" t="s">
        <v>755</v>
      </c>
      <c r="AY24" s="91"/>
      <c r="AZ24" s="358">
        <v>48</v>
      </c>
      <c r="BA24" s="358">
        <v>230675</v>
      </c>
      <c r="BB24" s="359">
        <v>563.72</v>
      </c>
      <c r="BC24" s="357" t="s">
        <v>754</v>
      </c>
      <c r="BD24" s="357" t="s">
        <v>755</v>
      </c>
      <c r="BE24" s="91"/>
      <c r="BF24" s="358">
        <v>48</v>
      </c>
      <c r="BG24" s="358">
        <v>220749</v>
      </c>
      <c r="BH24" s="359">
        <v>535.58000000000004</v>
      </c>
      <c r="BI24" s="357" t="s">
        <v>754</v>
      </c>
      <c r="BJ24" s="357" t="s">
        <v>755</v>
      </c>
      <c r="BK24" s="91"/>
      <c r="BL24" s="358">
        <v>49</v>
      </c>
      <c r="BM24" s="358">
        <v>226416</v>
      </c>
      <c r="BN24" s="359">
        <v>500.71</v>
      </c>
      <c r="BO24" s="357" t="s">
        <v>754</v>
      </c>
      <c r="BP24" s="357" t="s">
        <v>755</v>
      </c>
      <c r="BQ24" s="91"/>
      <c r="BR24" s="358">
        <v>47</v>
      </c>
      <c r="BS24" s="358">
        <v>234558</v>
      </c>
      <c r="BT24" s="359">
        <v>491.13</v>
      </c>
    </row>
    <row r="25" spans="1:72">
      <c r="A25" s="357" t="s">
        <v>756</v>
      </c>
      <c r="B25" s="357" t="s">
        <v>757</v>
      </c>
      <c r="C25" s="91"/>
      <c r="D25" s="358">
        <v>9</v>
      </c>
      <c r="E25" s="358">
        <v>33760</v>
      </c>
      <c r="F25" s="359">
        <v>144.80000000000001</v>
      </c>
      <c r="G25" s="357" t="s">
        <v>756</v>
      </c>
      <c r="H25" s="357" t="s">
        <v>757</v>
      </c>
      <c r="I25" s="91"/>
      <c r="J25" s="358">
        <v>9</v>
      </c>
      <c r="K25" s="358">
        <v>36480</v>
      </c>
      <c r="L25" s="359">
        <v>109.76</v>
      </c>
      <c r="M25" s="357" t="s">
        <v>756</v>
      </c>
      <c r="N25" s="357" t="s">
        <v>757</v>
      </c>
      <c r="O25" s="91"/>
      <c r="P25" s="358">
        <v>8</v>
      </c>
      <c r="Q25" s="358">
        <v>29413</v>
      </c>
      <c r="R25" s="359">
        <v>102.54</v>
      </c>
      <c r="S25" s="357" t="s">
        <v>756</v>
      </c>
      <c r="T25" s="357" t="s">
        <v>757</v>
      </c>
      <c r="U25" s="91"/>
      <c r="V25" s="358">
        <v>9</v>
      </c>
      <c r="W25" s="358">
        <v>22420</v>
      </c>
      <c r="X25" s="359">
        <v>119.52</v>
      </c>
      <c r="Y25" s="357" t="s">
        <v>756</v>
      </c>
      <c r="Z25" s="357" t="s">
        <v>757</v>
      </c>
      <c r="AA25" s="91"/>
      <c r="AB25" s="358">
        <v>9</v>
      </c>
      <c r="AC25" s="358">
        <v>21946</v>
      </c>
      <c r="AD25" s="359">
        <v>114.52</v>
      </c>
      <c r="AE25" s="357" t="s">
        <v>756</v>
      </c>
      <c r="AF25" s="357" t="s">
        <v>757</v>
      </c>
      <c r="AG25" s="91"/>
      <c r="AH25" s="358">
        <v>9</v>
      </c>
      <c r="AI25" s="358">
        <v>18938</v>
      </c>
      <c r="AJ25" s="359">
        <v>115.94</v>
      </c>
      <c r="AK25" s="357" t="s">
        <v>756</v>
      </c>
      <c r="AL25" s="357" t="s">
        <v>757</v>
      </c>
      <c r="AM25" s="91"/>
      <c r="AN25" s="358">
        <v>9</v>
      </c>
      <c r="AO25" s="358">
        <v>21275</v>
      </c>
      <c r="AP25" s="359">
        <v>110.21</v>
      </c>
      <c r="AQ25" s="357" t="s">
        <v>756</v>
      </c>
      <c r="AR25" s="357" t="s">
        <v>757</v>
      </c>
      <c r="AS25" s="91"/>
      <c r="AT25" s="358">
        <v>9</v>
      </c>
      <c r="AU25" s="358">
        <v>17598</v>
      </c>
      <c r="AV25" s="359">
        <v>148.1</v>
      </c>
      <c r="AW25" s="357" t="s">
        <v>756</v>
      </c>
      <c r="AX25" s="357" t="s">
        <v>757</v>
      </c>
      <c r="AY25" s="91"/>
      <c r="AZ25" s="358">
        <v>9</v>
      </c>
      <c r="BA25" s="358">
        <v>21545</v>
      </c>
      <c r="BB25" s="359">
        <v>108.42</v>
      </c>
      <c r="BC25" s="357" t="s">
        <v>756</v>
      </c>
      <c r="BD25" s="357" t="s">
        <v>757</v>
      </c>
      <c r="BE25" s="91"/>
      <c r="BF25" s="358">
        <v>9</v>
      </c>
      <c r="BG25" s="358">
        <v>18681</v>
      </c>
      <c r="BH25" s="359">
        <v>115.46</v>
      </c>
      <c r="BI25" s="357" t="s">
        <v>756</v>
      </c>
      <c r="BJ25" s="357" t="s">
        <v>757</v>
      </c>
      <c r="BK25" s="91"/>
      <c r="BL25" s="358">
        <v>9</v>
      </c>
      <c r="BM25" s="358">
        <v>21264</v>
      </c>
      <c r="BN25" s="359">
        <v>125.16</v>
      </c>
      <c r="BO25" s="357" t="s">
        <v>756</v>
      </c>
      <c r="BP25" s="357" t="s">
        <v>757</v>
      </c>
      <c r="BQ25" s="91"/>
      <c r="BR25" s="358">
        <v>9</v>
      </c>
      <c r="BS25" s="358">
        <v>24906</v>
      </c>
      <c r="BT25" s="359">
        <v>117.91</v>
      </c>
    </row>
    <row r="26" spans="1:72">
      <c r="A26" s="357" t="s">
        <v>758</v>
      </c>
      <c r="B26" s="357" t="s">
        <v>759</v>
      </c>
      <c r="C26" s="91"/>
      <c r="D26" s="358">
        <v>16</v>
      </c>
      <c r="E26" s="358">
        <v>242380</v>
      </c>
      <c r="F26" s="359">
        <v>1296.56</v>
      </c>
      <c r="G26" s="357" t="s">
        <v>758</v>
      </c>
      <c r="H26" s="357" t="s">
        <v>759</v>
      </c>
      <c r="I26" s="91"/>
      <c r="J26" s="358">
        <v>16</v>
      </c>
      <c r="K26" s="358">
        <v>340240</v>
      </c>
      <c r="L26" s="359">
        <v>1131.3599999999999</v>
      </c>
      <c r="M26" s="357" t="s">
        <v>758</v>
      </c>
      <c r="N26" s="357" t="s">
        <v>759</v>
      </c>
      <c r="O26" s="91"/>
      <c r="P26" s="358">
        <v>7</v>
      </c>
      <c r="Q26" s="358">
        <v>32760</v>
      </c>
      <c r="R26" s="359">
        <v>324.32</v>
      </c>
      <c r="S26" s="357" t="s">
        <v>758</v>
      </c>
      <c r="T26" s="357" t="s">
        <v>759</v>
      </c>
      <c r="U26" s="91"/>
      <c r="V26" s="358">
        <v>16</v>
      </c>
      <c r="W26" s="358">
        <v>390775</v>
      </c>
      <c r="X26" s="359">
        <v>1544.08</v>
      </c>
      <c r="Y26" s="357" t="s">
        <v>758</v>
      </c>
      <c r="Z26" s="357" t="s">
        <v>759</v>
      </c>
      <c r="AA26" s="91"/>
      <c r="AB26" s="358">
        <v>16</v>
      </c>
      <c r="AC26" s="358">
        <v>307905</v>
      </c>
      <c r="AD26" s="359">
        <v>1641.76</v>
      </c>
      <c r="AE26" s="357" t="s">
        <v>758</v>
      </c>
      <c r="AF26" s="357" t="s">
        <v>759</v>
      </c>
      <c r="AG26" s="91"/>
      <c r="AH26" s="358">
        <v>16</v>
      </c>
      <c r="AI26" s="358">
        <v>358718</v>
      </c>
      <c r="AJ26" s="359">
        <v>1442.96</v>
      </c>
      <c r="AK26" s="357" t="s">
        <v>758</v>
      </c>
      <c r="AL26" s="357" t="s">
        <v>759</v>
      </c>
      <c r="AM26" s="91"/>
      <c r="AN26" s="358">
        <v>16</v>
      </c>
      <c r="AO26" s="358">
        <v>261394</v>
      </c>
      <c r="AP26" s="359">
        <v>1324.24</v>
      </c>
      <c r="AQ26" s="357" t="s">
        <v>758</v>
      </c>
      <c r="AR26" s="357" t="s">
        <v>759</v>
      </c>
      <c r="AS26" s="91"/>
      <c r="AT26" s="358">
        <v>16</v>
      </c>
      <c r="AU26" s="358">
        <v>237689</v>
      </c>
      <c r="AV26" s="359">
        <v>1128.4000000000001</v>
      </c>
      <c r="AW26" s="357" t="s">
        <v>758</v>
      </c>
      <c r="AX26" s="357" t="s">
        <v>759</v>
      </c>
      <c r="AY26" s="91"/>
      <c r="AZ26" s="358">
        <v>16</v>
      </c>
      <c r="BA26" s="358">
        <v>332364</v>
      </c>
      <c r="BB26" s="359">
        <v>1702.16</v>
      </c>
      <c r="BC26" s="357" t="s">
        <v>758</v>
      </c>
      <c r="BD26" s="357" t="s">
        <v>759</v>
      </c>
      <c r="BE26" s="91"/>
      <c r="BF26" s="358">
        <v>16</v>
      </c>
      <c r="BG26" s="358">
        <v>345174</v>
      </c>
      <c r="BH26" s="359">
        <v>1648.32</v>
      </c>
      <c r="BI26" s="357" t="s">
        <v>758</v>
      </c>
      <c r="BJ26" s="357" t="s">
        <v>759</v>
      </c>
      <c r="BK26" s="91"/>
      <c r="BL26" s="358">
        <v>16</v>
      </c>
      <c r="BM26" s="358">
        <v>319096</v>
      </c>
      <c r="BN26" s="359">
        <v>1710</v>
      </c>
      <c r="BO26" s="357" t="s">
        <v>758</v>
      </c>
      <c r="BP26" s="357" t="s">
        <v>759</v>
      </c>
      <c r="BQ26" s="91"/>
      <c r="BR26" s="358">
        <v>16</v>
      </c>
      <c r="BS26" s="358">
        <v>292704</v>
      </c>
      <c r="BT26" s="359">
        <v>1695.84</v>
      </c>
    </row>
    <row r="27" spans="1:72">
      <c r="A27" s="357" t="s">
        <v>760</v>
      </c>
      <c r="B27" s="357" t="s">
        <v>761</v>
      </c>
      <c r="C27" s="91"/>
      <c r="D27" s="358">
        <v>7</v>
      </c>
      <c r="E27" s="358">
        <v>6542</v>
      </c>
      <c r="F27" s="359">
        <v>33.6</v>
      </c>
      <c r="G27" s="357" t="s">
        <v>760</v>
      </c>
      <c r="H27" s="357" t="s">
        <v>761</v>
      </c>
      <c r="I27" s="91"/>
      <c r="J27" s="358">
        <v>7</v>
      </c>
      <c r="K27" s="358">
        <v>11705</v>
      </c>
      <c r="L27" s="359">
        <v>37.6</v>
      </c>
      <c r="M27" s="357" t="s">
        <v>760</v>
      </c>
      <c r="N27" s="357" t="s">
        <v>761</v>
      </c>
      <c r="O27" s="91"/>
      <c r="P27" s="358">
        <v>7</v>
      </c>
      <c r="Q27" s="358">
        <v>5247</v>
      </c>
      <c r="R27" s="359">
        <v>27.2</v>
      </c>
      <c r="S27" s="357" t="s">
        <v>760</v>
      </c>
      <c r="T27" s="357" t="s">
        <v>761</v>
      </c>
      <c r="U27" s="91"/>
      <c r="V27" s="358">
        <v>7</v>
      </c>
      <c r="W27" s="358">
        <v>4916</v>
      </c>
      <c r="X27" s="359">
        <v>22.4</v>
      </c>
      <c r="Y27" s="357" t="s">
        <v>760</v>
      </c>
      <c r="Z27" s="357" t="s">
        <v>761</v>
      </c>
      <c r="AA27" s="91"/>
      <c r="AB27" s="358">
        <v>7</v>
      </c>
      <c r="AC27" s="358">
        <v>4308</v>
      </c>
      <c r="AD27" s="359">
        <v>16.8</v>
      </c>
      <c r="AE27" s="357" t="s">
        <v>760</v>
      </c>
      <c r="AF27" s="357" t="s">
        <v>761</v>
      </c>
      <c r="AG27" s="91"/>
      <c r="AH27" s="358">
        <v>6</v>
      </c>
      <c r="AI27" s="358">
        <v>4905</v>
      </c>
      <c r="AJ27" s="359">
        <v>20.8</v>
      </c>
      <c r="AK27" s="357" t="s">
        <v>760</v>
      </c>
      <c r="AL27" s="357" t="s">
        <v>761</v>
      </c>
      <c r="AM27" s="91"/>
      <c r="AN27" s="358">
        <v>6</v>
      </c>
      <c r="AO27" s="358">
        <v>4395</v>
      </c>
      <c r="AP27" s="359">
        <v>19.2</v>
      </c>
      <c r="AQ27" s="357" t="s">
        <v>760</v>
      </c>
      <c r="AR27" s="357" t="s">
        <v>761</v>
      </c>
      <c r="AS27" s="91"/>
      <c r="AT27" s="358">
        <v>8</v>
      </c>
      <c r="AU27" s="358">
        <v>4735</v>
      </c>
      <c r="AV27" s="359">
        <v>20.8</v>
      </c>
      <c r="AW27" s="357" t="s">
        <v>760</v>
      </c>
      <c r="AX27" s="357" t="s">
        <v>761</v>
      </c>
      <c r="AY27" s="91"/>
      <c r="AZ27" s="358">
        <v>8</v>
      </c>
      <c r="BA27" s="358">
        <v>5448</v>
      </c>
      <c r="BB27" s="359">
        <v>21.6</v>
      </c>
      <c r="BC27" s="357" t="s">
        <v>760</v>
      </c>
      <c r="BD27" s="357" t="s">
        <v>761</v>
      </c>
      <c r="BE27" s="91"/>
      <c r="BF27" s="358">
        <v>8</v>
      </c>
      <c r="BG27" s="358">
        <v>6250</v>
      </c>
      <c r="BH27" s="359">
        <v>44</v>
      </c>
      <c r="BI27" s="357" t="s">
        <v>760</v>
      </c>
      <c r="BJ27" s="357" t="s">
        <v>761</v>
      </c>
      <c r="BK27" s="91"/>
      <c r="BL27" s="358">
        <v>8</v>
      </c>
      <c r="BM27" s="358">
        <v>5917</v>
      </c>
      <c r="BN27" s="359">
        <v>30.4</v>
      </c>
      <c r="BO27" s="357" t="s">
        <v>760</v>
      </c>
      <c r="BP27" s="357" t="s">
        <v>761</v>
      </c>
      <c r="BQ27" s="91"/>
      <c r="BR27" s="358">
        <v>8</v>
      </c>
      <c r="BS27" s="358">
        <v>9921</v>
      </c>
      <c r="BT27" s="359">
        <v>31.2</v>
      </c>
    </row>
    <row r="28" spans="1:72">
      <c r="A28" s="360" t="s">
        <v>56</v>
      </c>
      <c r="B28" s="91"/>
      <c r="C28" s="91"/>
      <c r="D28" s="358">
        <v>823</v>
      </c>
      <c r="E28" s="358">
        <v>5713888</v>
      </c>
      <c r="F28" s="359">
        <v>16551.59</v>
      </c>
      <c r="G28" s="360" t="s">
        <v>56</v>
      </c>
      <c r="H28" s="91"/>
      <c r="I28" s="91"/>
      <c r="J28" s="358">
        <v>817</v>
      </c>
      <c r="K28" s="358">
        <v>8208531</v>
      </c>
      <c r="L28" s="359">
        <v>17025.88</v>
      </c>
      <c r="M28" s="360" t="s">
        <v>56</v>
      </c>
      <c r="N28" s="91"/>
      <c r="O28" s="91"/>
      <c r="P28" s="358">
        <v>509</v>
      </c>
      <c r="Q28" s="358">
        <v>3334134</v>
      </c>
      <c r="R28" s="359">
        <v>10541.84</v>
      </c>
      <c r="S28" s="360" t="s">
        <v>56</v>
      </c>
      <c r="T28" s="91"/>
      <c r="U28" s="91"/>
      <c r="V28" s="358">
        <v>825</v>
      </c>
      <c r="W28" s="358">
        <v>6787384</v>
      </c>
      <c r="X28" s="359">
        <v>16688.8</v>
      </c>
      <c r="Y28" s="360" t="s">
        <v>56</v>
      </c>
      <c r="Z28" s="91"/>
      <c r="AA28" s="91"/>
      <c r="AB28" s="358">
        <v>826</v>
      </c>
      <c r="AC28" s="358">
        <v>6347721</v>
      </c>
      <c r="AD28" s="359">
        <v>17898.84</v>
      </c>
      <c r="AE28" s="360" t="s">
        <v>56</v>
      </c>
      <c r="AF28" s="91"/>
      <c r="AG28" s="91"/>
      <c r="AH28" s="358">
        <v>823</v>
      </c>
      <c r="AI28" s="358">
        <v>6631894</v>
      </c>
      <c r="AJ28" s="359">
        <v>17160.46</v>
      </c>
      <c r="AK28" s="360" t="s">
        <v>56</v>
      </c>
      <c r="AL28" s="91"/>
      <c r="AM28" s="91"/>
      <c r="AN28" s="358">
        <v>823</v>
      </c>
      <c r="AO28" s="358">
        <v>6455046</v>
      </c>
      <c r="AP28" s="359">
        <v>17256.150000000001</v>
      </c>
      <c r="AQ28" s="360" t="s">
        <v>56</v>
      </c>
      <c r="AR28" s="91"/>
      <c r="AS28" s="91"/>
      <c r="AT28" s="358">
        <v>813</v>
      </c>
      <c r="AU28" s="358">
        <v>6877758</v>
      </c>
      <c r="AV28" s="359">
        <v>17033.05</v>
      </c>
      <c r="AW28" s="360" t="s">
        <v>56</v>
      </c>
      <c r="AX28" s="91"/>
      <c r="AY28" s="91"/>
      <c r="AZ28" s="358">
        <v>821</v>
      </c>
      <c r="BA28" s="358">
        <v>6650170</v>
      </c>
      <c r="BB28" s="359">
        <v>17417.12</v>
      </c>
      <c r="BC28" s="360" t="s">
        <v>56</v>
      </c>
      <c r="BD28" s="91"/>
      <c r="BE28" s="91"/>
      <c r="BF28" s="358">
        <v>812</v>
      </c>
      <c r="BG28" s="358">
        <v>6427371</v>
      </c>
      <c r="BH28" s="359">
        <v>17230.53</v>
      </c>
      <c r="BI28" s="360" t="s">
        <v>56</v>
      </c>
      <c r="BJ28" s="91"/>
      <c r="BK28" s="91"/>
      <c r="BL28" s="358">
        <v>815</v>
      </c>
      <c r="BM28" s="358">
        <v>6187740</v>
      </c>
      <c r="BN28" s="359">
        <v>16773.900000000001</v>
      </c>
      <c r="BO28" s="360" t="s">
        <v>56</v>
      </c>
      <c r="BP28" s="91"/>
      <c r="BQ28" s="91"/>
      <c r="BR28" s="358">
        <v>815</v>
      </c>
      <c r="BS28" s="358">
        <v>6296004</v>
      </c>
      <c r="BT28" s="359">
        <v>17501.099999999999</v>
      </c>
    </row>
    <row r="29" spans="1:72">
      <c r="A29" s="91"/>
      <c r="B29" s="91"/>
      <c r="C29" s="91"/>
      <c r="D29" s="91"/>
      <c r="E29" s="343">
        <f>E28-E23</f>
        <v>4900288</v>
      </c>
      <c r="F29" s="91"/>
      <c r="G29" s="91"/>
      <c r="H29" s="91"/>
      <c r="I29" s="91"/>
      <c r="J29" s="91"/>
      <c r="K29" s="343">
        <f>K28-K23</f>
        <v>7048131</v>
      </c>
      <c r="L29" s="91"/>
      <c r="M29" s="91"/>
      <c r="N29" s="91"/>
      <c r="O29" s="91"/>
      <c r="P29" s="91"/>
      <c r="Q29" s="343">
        <f>Q28-Q23</f>
        <v>3334134</v>
      </c>
      <c r="R29" s="91"/>
      <c r="S29" s="91"/>
      <c r="T29" s="91"/>
      <c r="U29" s="91"/>
      <c r="V29" s="91"/>
      <c r="W29" s="343">
        <f>W28-W23</f>
        <v>5566744</v>
      </c>
      <c r="X29" s="91"/>
      <c r="Y29" s="91"/>
      <c r="Z29" s="91"/>
      <c r="AA29" s="91"/>
      <c r="AB29" s="91"/>
      <c r="AC29" s="343">
        <f>AC28-AC23</f>
        <v>5270361</v>
      </c>
      <c r="AD29" s="91"/>
      <c r="AE29" s="91"/>
      <c r="AF29" s="91"/>
      <c r="AG29" s="91"/>
      <c r="AH29" s="91"/>
      <c r="AI29" s="343">
        <f>AI28-AI23</f>
        <v>5472734</v>
      </c>
      <c r="AJ29" s="91"/>
      <c r="AK29" s="91"/>
      <c r="AL29" s="91"/>
      <c r="AM29" s="91"/>
      <c r="AN29" s="91"/>
      <c r="AO29" s="343">
        <f>AO28-AO23</f>
        <v>5350726</v>
      </c>
      <c r="AP29" s="91"/>
      <c r="AQ29" s="91"/>
      <c r="AR29" s="91"/>
      <c r="AS29" s="91"/>
      <c r="AT29" s="91"/>
      <c r="AU29" s="343">
        <f>AU28-AU23</f>
        <v>5613518</v>
      </c>
      <c r="AV29" s="91"/>
      <c r="AW29" s="91"/>
      <c r="AX29" s="91"/>
      <c r="AY29" s="91"/>
      <c r="AZ29" s="91"/>
      <c r="BA29" s="343">
        <f>BA28-BA23</f>
        <v>5473650</v>
      </c>
      <c r="BB29" s="91"/>
      <c r="BC29" s="91"/>
      <c r="BD29" s="91"/>
      <c r="BE29" s="91"/>
      <c r="BF29" s="91"/>
      <c r="BG29" s="343">
        <f>BG28-BG23</f>
        <v>5222171</v>
      </c>
      <c r="BH29" s="91"/>
      <c r="BI29" s="91"/>
      <c r="BJ29" s="91"/>
      <c r="BK29" s="91"/>
      <c r="BL29" s="91"/>
      <c r="BM29" s="343">
        <f>BM28-BM23</f>
        <v>5031660</v>
      </c>
      <c r="BN29" s="91"/>
      <c r="BO29" s="91"/>
      <c r="BP29" s="91"/>
      <c r="BQ29" s="91"/>
      <c r="BR29" s="91"/>
      <c r="BS29" s="343">
        <f>BS28-BS23</f>
        <v>5192104</v>
      </c>
      <c r="BT29" s="91"/>
    </row>
    <row r="30" spans="1:72">
      <c r="A30" s="357" t="s">
        <v>762</v>
      </c>
      <c r="B30" s="357" t="s">
        <v>763</v>
      </c>
      <c r="C30" s="91"/>
      <c r="D30" s="358">
        <v>1</v>
      </c>
      <c r="E30" s="358">
        <v>57952.44</v>
      </c>
      <c r="F30" s="359">
        <v>0</v>
      </c>
      <c r="G30" s="357" t="s">
        <v>762</v>
      </c>
      <c r="H30" s="357" t="s">
        <v>763</v>
      </c>
      <c r="I30" s="91"/>
      <c r="J30" s="358">
        <v>1</v>
      </c>
      <c r="K30" s="358">
        <v>49062.73</v>
      </c>
      <c r="L30" s="359">
        <v>0</v>
      </c>
      <c r="M30" s="357" t="s">
        <v>762</v>
      </c>
      <c r="N30" s="357" t="s">
        <v>763</v>
      </c>
      <c r="O30" s="91"/>
      <c r="P30" s="358">
        <v>1</v>
      </c>
      <c r="Q30" s="358">
        <v>49205.760000000002</v>
      </c>
      <c r="R30" s="359">
        <v>0</v>
      </c>
      <c r="S30" s="357" t="s">
        <v>762</v>
      </c>
      <c r="T30" s="357" t="s">
        <v>763</v>
      </c>
      <c r="U30" s="91"/>
      <c r="V30" s="358">
        <v>1</v>
      </c>
      <c r="W30" s="358">
        <v>42482.89</v>
      </c>
      <c r="X30" s="359">
        <v>0</v>
      </c>
      <c r="Y30" s="357" t="s">
        <v>762</v>
      </c>
      <c r="Z30" s="357" t="s">
        <v>763</v>
      </c>
      <c r="AA30" s="91"/>
      <c r="AB30" s="358">
        <v>1</v>
      </c>
      <c r="AC30" s="358">
        <v>38763.85</v>
      </c>
      <c r="AD30" s="359">
        <v>0</v>
      </c>
      <c r="AE30" s="357" t="s">
        <v>762</v>
      </c>
      <c r="AF30" s="357" t="s">
        <v>763</v>
      </c>
      <c r="AG30" s="91"/>
      <c r="AH30" s="358">
        <v>1</v>
      </c>
      <c r="AI30" s="358">
        <v>34901.760000000002</v>
      </c>
      <c r="AJ30" s="359">
        <v>0</v>
      </c>
      <c r="AK30" s="357" t="s">
        <v>762</v>
      </c>
      <c r="AL30" s="357" t="s">
        <v>763</v>
      </c>
      <c r="AM30" s="91"/>
      <c r="AN30" s="358">
        <v>1</v>
      </c>
      <c r="AO30" s="358">
        <v>37333.449999999997</v>
      </c>
      <c r="AP30" s="359">
        <v>0</v>
      </c>
      <c r="AQ30" s="357" t="s">
        <v>762</v>
      </c>
      <c r="AR30" s="357" t="s">
        <v>763</v>
      </c>
      <c r="AS30" s="91"/>
      <c r="AT30" s="358">
        <v>1</v>
      </c>
      <c r="AU30" s="358">
        <v>41653.75</v>
      </c>
      <c r="AV30" s="359">
        <v>0</v>
      </c>
      <c r="AW30" s="357" t="s">
        <v>762</v>
      </c>
      <c r="AX30" s="357" t="s">
        <v>763</v>
      </c>
      <c r="AY30" s="91"/>
      <c r="AZ30" s="358">
        <v>1</v>
      </c>
      <c r="BA30" s="358">
        <v>45518.52</v>
      </c>
      <c r="BB30" s="359">
        <v>0</v>
      </c>
      <c r="BC30" s="357" t="s">
        <v>762</v>
      </c>
      <c r="BD30" s="357" t="s">
        <v>763</v>
      </c>
      <c r="BE30" s="91"/>
      <c r="BF30" s="358">
        <v>1</v>
      </c>
      <c r="BG30" s="358">
        <v>52425.84</v>
      </c>
      <c r="BH30" s="359">
        <v>0</v>
      </c>
      <c r="BI30" s="357" t="s">
        <v>762</v>
      </c>
      <c r="BJ30" s="357" t="s">
        <v>763</v>
      </c>
      <c r="BK30" s="91"/>
      <c r="BL30" s="358">
        <v>1</v>
      </c>
      <c r="BM30" s="358">
        <v>55185.91</v>
      </c>
      <c r="BN30" s="359">
        <v>0</v>
      </c>
      <c r="BO30" s="357" t="s">
        <v>762</v>
      </c>
      <c r="BP30" s="357" t="s">
        <v>763</v>
      </c>
      <c r="BQ30" s="91"/>
      <c r="BR30" s="358">
        <v>1</v>
      </c>
      <c r="BS30" s="358">
        <v>59384.160000000003</v>
      </c>
      <c r="BT30" s="359">
        <v>0</v>
      </c>
    </row>
    <row r="31" spans="1:72">
      <c r="A31" s="360" t="s">
        <v>604</v>
      </c>
      <c r="B31" s="91"/>
      <c r="C31" s="91"/>
      <c r="D31" s="358">
        <v>1</v>
      </c>
      <c r="E31" s="358">
        <v>57952.44</v>
      </c>
      <c r="F31" s="359">
        <v>0</v>
      </c>
      <c r="G31" s="360" t="s">
        <v>604</v>
      </c>
      <c r="H31" s="91"/>
      <c r="I31" s="91"/>
      <c r="J31" s="358">
        <v>1</v>
      </c>
      <c r="K31" s="358">
        <v>49062.73</v>
      </c>
      <c r="L31" s="359">
        <v>0</v>
      </c>
      <c r="M31" s="360" t="s">
        <v>604</v>
      </c>
      <c r="N31" s="91"/>
      <c r="O31" s="91"/>
      <c r="P31" s="358">
        <v>1</v>
      </c>
      <c r="Q31" s="358">
        <v>49205.760000000002</v>
      </c>
      <c r="R31" s="359">
        <v>0</v>
      </c>
      <c r="S31" s="360" t="s">
        <v>604</v>
      </c>
      <c r="T31" s="91"/>
      <c r="U31" s="91"/>
      <c r="V31" s="358">
        <v>1</v>
      </c>
      <c r="W31" s="358">
        <v>42482.89</v>
      </c>
      <c r="X31" s="359">
        <v>0</v>
      </c>
      <c r="Y31" s="360" t="s">
        <v>604</v>
      </c>
      <c r="Z31" s="91"/>
      <c r="AA31" s="91"/>
      <c r="AB31" s="358">
        <v>1</v>
      </c>
      <c r="AC31" s="358">
        <v>38763.85</v>
      </c>
      <c r="AD31" s="359">
        <v>0</v>
      </c>
      <c r="AE31" s="360" t="s">
        <v>604</v>
      </c>
      <c r="AF31" s="91"/>
      <c r="AG31" s="91"/>
      <c r="AH31" s="358">
        <v>1</v>
      </c>
      <c r="AI31" s="358">
        <v>34901.760000000002</v>
      </c>
      <c r="AJ31" s="359">
        <v>0</v>
      </c>
      <c r="AK31" s="360" t="s">
        <v>604</v>
      </c>
      <c r="AL31" s="91"/>
      <c r="AM31" s="91"/>
      <c r="AN31" s="358">
        <v>1</v>
      </c>
      <c r="AO31" s="358">
        <v>37333.449999999997</v>
      </c>
      <c r="AP31" s="359">
        <v>0</v>
      </c>
      <c r="AQ31" s="360" t="s">
        <v>604</v>
      </c>
      <c r="AR31" s="91"/>
      <c r="AS31" s="91"/>
      <c r="AT31" s="358">
        <v>1</v>
      </c>
      <c r="AU31" s="358">
        <v>41653.75</v>
      </c>
      <c r="AV31" s="359">
        <v>0</v>
      </c>
      <c r="AW31" s="360" t="s">
        <v>604</v>
      </c>
      <c r="AX31" s="91"/>
      <c r="AY31" s="91"/>
      <c r="AZ31" s="358">
        <v>1</v>
      </c>
      <c r="BA31" s="358">
        <v>45518.52</v>
      </c>
      <c r="BB31" s="359">
        <v>0</v>
      </c>
      <c r="BC31" s="360" t="s">
        <v>604</v>
      </c>
      <c r="BD31" s="91"/>
      <c r="BE31" s="91"/>
      <c r="BF31" s="358">
        <v>1</v>
      </c>
      <c r="BG31" s="358">
        <v>52425.84</v>
      </c>
      <c r="BH31" s="359">
        <v>0</v>
      </c>
      <c r="BI31" s="360" t="s">
        <v>604</v>
      </c>
      <c r="BJ31" s="91"/>
      <c r="BK31" s="91"/>
      <c r="BL31" s="358">
        <v>1</v>
      </c>
      <c r="BM31" s="358">
        <v>55185.91</v>
      </c>
      <c r="BN31" s="359">
        <v>0</v>
      </c>
      <c r="BO31" s="360" t="s">
        <v>604</v>
      </c>
      <c r="BP31" s="91"/>
      <c r="BQ31" s="91"/>
      <c r="BR31" s="358">
        <v>1</v>
      </c>
      <c r="BS31" s="358">
        <v>59384.160000000003</v>
      </c>
      <c r="BT31" s="359">
        <v>0</v>
      </c>
    </row>
    <row r="32" spans="1:72">
      <c r="A32" s="91"/>
      <c r="B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row>
    <row r="33" spans="1:72">
      <c r="A33" s="357" t="s">
        <v>764</v>
      </c>
      <c r="B33" s="357" t="s">
        <v>765</v>
      </c>
      <c r="C33" s="91"/>
      <c r="D33" s="358">
        <v>38</v>
      </c>
      <c r="E33" s="358">
        <v>87090</v>
      </c>
      <c r="F33" s="359">
        <v>0</v>
      </c>
      <c r="G33" s="357" t="s">
        <v>764</v>
      </c>
      <c r="H33" s="357" t="s">
        <v>765</v>
      </c>
      <c r="I33" s="91"/>
      <c r="J33" s="358">
        <v>38</v>
      </c>
      <c r="K33" s="358">
        <v>116307</v>
      </c>
      <c r="L33" s="359">
        <v>0</v>
      </c>
      <c r="M33" s="357" t="s">
        <v>764</v>
      </c>
      <c r="N33" s="357" t="s">
        <v>765</v>
      </c>
      <c r="O33" s="91"/>
      <c r="P33" s="358">
        <v>5</v>
      </c>
      <c r="Q33" s="358">
        <v>8045</v>
      </c>
      <c r="R33" s="359">
        <v>0</v>
      </c>
      <c r="S33" s="357" t="s">
        <v>764</v>
      </c>
      <c r="T33" s="357" t="s">
        <v>765</v>
      </c>
      <c r="U33" s="91"/>
      <c r="V33" s="358">
        <v>38</v>
      </c>
      <c r="W33" s="358">
        <v>96554</v>
      </c>
      <c r="X33" s="359">
        <v>0</v>
      </c>
      <c r="Y33" s="357" t="s">
        <v>764</v>
      </c>
      <c r="Z33" s="357" t="s">
        <v>765</v>
      </c>
      <c r="AA33" s="91"/>
      <c r="AB33" s="358">
        <v>38</v>
      </c>
      <c r="AC33" s="358">
        <v>51861</v>
      </c>
      <c r="AD33" s="359">
        <v>0</v>
      </c>
      <c r="AE33" s="357" t="s">
        <v>764</v>
      </c>
      <c r="AF33" s="357" t="s">
        <v>765</v>
      </c>
      <c r="AG33" s="91"/>
      <c r="AH33" s="358">
        <v>39</v>
      </c>
      <c r="AI33" s="358">
        <v>40681</v>
      </c>
      <c r="AJ33" s="359">
        <v>0</v>
      </c>
      <c r="AK33" s="357" t="s">
        <v>764</v>
      </c>
      <c r="AL33" s="357" t="s">
        <v>765</v>
      </c>
      <c r="AM33" s="91"/>
      <c r="AN33" s="358">
        <v>38</v>
      </c>
      <c r="AO33" s="358">
        <v>40898</v>
      </c>
      <c r="AP33" s="359">
        <v>0</v>
      </c>
      <c r="AQ33" s="357" t="s">
        <v>764</v>
      </c>
      <c r="AR33" s="357" t="s">
        <v>765</v>
      </c>
      <c r="AS33" s="91"/>
      <c r="AT33" s="358">
        <v>38</v>
      </c>
      <c r="AU33" s="358">
        <v>47555</v>
      </c>
      <c r="AV33" s="359">
        <v>0</v>
      </c>
      <c r="AW33" s="357" t="s">
        <v>764</v>
      </c>
      <c r="AX33" s="357" t="s">
        <v>765</v>
      </c>
      <c r="AY33" s="91"/>
      <c r="AZ33" s="358">
        <v>38</v>
      </c>
      <c r="BA33" s="358">
        <v>43295</v>
      </c>
      <c r="BB33" s="359">
        <v>0</v>
      </c>
      <c r="BC33" s="357" t="s">
        <v>764</v>
      </c>
      <c r="BD33" s="357" t="s">
        <v>765</v>
      </c>
      <c r="BE33" s="91"/>
      <c r="BF33" s="358">
        <v>38</v>
      </c>
      <c r="BG33" s="358">
        <v>39106</v>
      </c>
      <c r="BH33" s="359">
        <v>0</v>
      </c>
      <c r="BI33" s="357" t="s">
        <v>764</v>
      </c>
      <c r="BJ33" s="357" t="s">
        <v>765</v>
      </c>
      <c r="BK33" s="91"/>
      <c r="BL33" s="358">
        <v>39</v>
      </c>
      <c r="BM33" s="358">
        <v>52832</v>
      </c>
      <c r="BN33" s="359">
        <v>0</v>
      </c>
      <c r="BO33" s="357" t="s">
        <v>764</v>
      </c>
      <c r="BP33" s="357" t="s">
        <v>765</v>
      </c>
      <c r="BQ33" s="91"/>
      <c r="BR33" s="358">
        <v>38</v>
      </c>
      <c r="BS33" s="358">
        <v>65995</v>
      </c>
      <c r="BT33" s="359">
        <v>0</v>
      </c>
    </row>
    <row r="34" spans="1:72">
      <c r="A34" s="360" t="s">
        <v>766</v>
      </c>
      <c r="B34" s="91"/>
      <c r="C34" s="91"/>
      <c r="D34" s="358">
        <v>38</v>
      </c>
      <c r="E34" s="358">
        <v>87090</v>
      </c>
      <c r="F34" s="359">
        <v>0</v>
      </c>
      <c r="G34" s="360" t="s">
        <v>766</v>
      </c>
      <c r="H34" s="91"/>
      <c r="I34" s="91"/>
      <c r="J34" s="358">
        <v>38</v>
      </c>
      <c r="K34" s="358">
        <v>116307</v>
      </c>
      <c r="L34" s="359">
        <v>0</v>
      </c>
      <c r="M34" s="360" t="s">
        <v>766</v>
      </c>
      <c r="N34" s="91"/>
      <c r="O34" s="91"/>
      <c r="P34" s="358">
        <v>5</v>
      </c>
      <c r="Q34" s="358">
        <v>8045</v>
      </c>
      <c r="R34" s="359">
        <v>0</v>
      </c>
      <c r="S34" s="360" t="s">
        <v>766</v>
      </c>
      <c r="T34" s="91"/>
      <c r="U34" s="91"/>
      <c r="V34" s="358">
        <v>38</v>
      </c>
      <c r="W34" s="358">
        <v>96554</v>
      </c>
      <c r="X34" s="359">
        <v>0</v>
      </c>
      <c r="Y34" s="360" t="s">
        <v>766</v>
      </c>
      <c r="Z34" s="91"/>
      <c r="AA34" s="91"/>
      <c r="AB34" s="358">
        <v>38</v>
      </c>
      <c r="AC34" s="358">
        <v>51861</v>
      </c>
      <c r="AD34" s="359">
        <v>0</v>
      </c>
      <c r="AE34" s="360" t="s">
        <v>766</v>
      </c>
      <c r="AF34" s="91"/>
      <c r="AG34" s="91"/>
      <c r="AH34" s="358">
        <v>39</v>
      </c>
      <c r="AI34" s="358">
        <v>40681</v>
      </c>
      <c r="AJ34" s="359">
        <v>0</v>
      </c>
      <c r="AK34" s="360" t="s">
        <v>766</v>
      </c>
      <c r="AL34" s="91"/>
      <c r="AM34" s="91"/>
      <c r="AN34" s="358">
        <v>38</v>
      </c>
      <c r="AO34" s="358">
        <v>40898</v>
      </c>
      <c r="AP34" s="359">
        <v>0</v>
      </c>
      <c r="AQ34" s="360" t="s">
        <v>766</v>
      </c>
      <c r="AR34" s="91"/>
      <c r="AS34" s="91"/>
      <c r="AT34" s="358">
        <v>38</v>
      </c>
      <c r="AU34" s="358">
        <v>47555</v>
      </c>
      <c r="AV34" s="359">
        <v>0</v>
      </c>
      <c r="AW34" s="360" t="s">
        <v>766</v>
      </c>
      <c r="AX34" s="91"/>
      <c r="AY34" s="91"/>
      <c r="AZ34" s="358">
        <v>38</v>
      </c>
      <c r="BA34" s="358">
        <v>43295</v>
      </c>
      <c r="BB34" s="359">
        <v>0</v>
      </c>
      <c r="BC34" s="360" t="s">
        <v>766</v>
      </c>
      <c r="BD34" s="91"/>
      <c r="BE34" s="91"/>
      <c r="BF34" s="358">
        <v>38</v>
      </c>
      <c r="BG34" s="358">
        <v>39106</v>
      </c>
      <c r="BH34" s="359">
        <v>0</v>
      </c>
      <c r="BI34" s="360" t="s">
        <v>766</v>
      </c>
      <c r="BJ34" s="91"/>
      <c r="BK34" s="91"/>
      <c r="BL34" s="358">
        <v>39</v>
      </c>
      <c r="BM34" s="358">
        <v>52832</v>
      </c>
      <c r="BN34" s="359">
        <v>0</v>
      </c>
      <c r="BO34" s="360" t="s">
        <v>766</v>
      </c>
      <c r="BP34" s="91"/>
      <c r="BQ34" s="91"/>
      <c r="BR34" s="358">
        <v>38</v>
      </c>
      <c r="BS34" s="358">
        <v>65995</v>
      </c>
      <c r="BT34" s="359">
        <v>0</v>
      </c>
    </row>
    <row r="35" spans="1:72">
      <c r="A35" s="91"/>
      <c r="B35" s="91"/>
      <c r="C35" s="91"/>
      <c r="D35" s="91"/>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row>
    <row r="36" spans="1:72">
      <c r="A36" s="357" t="s">
        <v>767</v>
      </c>
      <c r="B36" s="357" t="s">
        <v>768</v>
      </c>
      <c r="C36" s="91"/>
      <c r="D36" s="358">
        <v>5031</v>
      </c>
      <c r="E36" s="358">
        <v>5470215</v>
      </c>
      <c r="F36" s="359">
        <v>591.88</v>
      </c>
      <c r="G36" s="357" t="s">
        <v>767</v>
      </c>
      <c r="H36" s="357" t="s">
        <v>768</v>
      </c>
      <c r="I36" s="91"/>
      <c r="J36" s="358">
        <v>4991</v>
      </c>
      <c r="K36" s="358">
        <v>8078464</v>
      </c>
      <c r="L36" s="359">
        <v>677.9</v>
      </c>
      <c r="M36" s="357" t="s">
        <v>767</v>
      </c>
      <c r="N36" s="357" t="s">
        <v>768</v>
      </c>
      <c r="O36" s="91"/>
      <c r="P36" s="358">
        <v>2531</v>
      </c>
      <c r="Q36" s="358">
        <v>2921678</v>
      </c>
      <c r="R36" s="359">
        <v>419</v>
      </c>
      <c r="S36" s="357" t="s">
        <v>767</v>
      </c>
      <c r="T36" s="357" t="s">
        <v>768</v>
      </c>
      <c r="U36" s="91"/>
      <c r="V36" s="358">
        <v>4998</v>
      </c>
      <c r="W36" s="358">
        <v>5710266</v>
      </c>
      <c r="X36" s="359">
        <v>543.33000000000004</v>
      </c>
      <c r="Y36" s="357" t="s">
        <v>767</v>
      </c>
      <c r="Z36" s="357" t="s">
        <v>768</v>
      </c>
      <c r="AA36" s="91"/>
      <c r="AB36" s="358">
        <v>5131</v>
      </c>
      <c r="AC36" s="358">
        <v>4085816</v>
      </c>
      <c r="AD36" s="359">
        <v>533.35</v>
      </c>
      <c r="AE36" s="357" t="s">
        <v>767</v>
      </c>
      <c r="AF36" s="357" t="s">
        <v>768</v>
      </c>
      <c r="AG36" s="91"/>
      <c r="AH36" s="358">
        <v>5223</v>
      </c>
      <c r="AI36" s="358">
        <v>3220929</v>
      </c>
      <c r="AJ36" s="359">
        <v>438.53</v>
      </c>
      <c r="AK36" s="357" t="s">
        <v>767</v>
      </c>
      <c r="AL36" s="357" t="s">
        <v>768</v>
      </c>
      <c r="AM36" s="91"/>
      <c r="AN36" s="358">
        <v>5493</v>
      </c>
      <c r="AO36" s="358">
        <v>3374537</v>
      </c>
      <c r="AP36" s="359">
        <v>485.69</v>
      </c>
      <c r="AQ36" s="357" t="s">
        <v>767</v>
      </c>
      <c r="AR36" s="357" t="s">
        <v>768</v>
      </c>
      <c r="AS36" s="91"/>
      <c r="AT36" s="358">
        <v>5771</v>
      </c>
      <c r="AU36" s="358">
        <v>3587044</v>
      </c>
      <c r="AV36" s="359">
        <v>479.73</v>
      </c>
      <c r="AW36" s="357" t="s">
        <v>767</v>
      </c>
      <c r="AX36" s="357" t="s">
        <v>768</v>
      </c>
      <c r="AY36" s="91"/>
      <c r="AZ36" s="358">
        <v>5078</v>
      </c>
      <c r="BA36" s="358">
        <v>3664168</v>
      </c>
      <c r="BB36" s="359">
        <v>544.11</v>
      </c>
      <c r="BC36" s="357" t="s">
        <v>767</v>
      </c>
      <c r="BD36" s="357" t="s">
        <v>768</v>
      </c>
      <c r="BE36" s="91"/>
      <c r="BF36" s="358">
        <v>4998</v>
      </c>
      <c r="BG36" s="358">
        <v>3654927</v>
      </c>
      <c r="BH36" s="359">
        <v>511.1</v>
      </c>
      <c r="BI36" s="357" t="s">
        <v>767</v>
      </c>
      <c r="BJ36" s="357" t="s">
        <v>768</v>
      </c>
      <c r="BK36" s="91"/>
      <c r="BL36" s="358">
        <v>4996</v>
      </c>
      <c r="BM36" s="358">
        <v>4150663</v>
      </c>
      <c r="BN36" s="359">
        <v>543.04999999999995</v>
      </c>
      <c r="BO36" s="357" t="s">
        <v>767</v>
      </c>
      <c r="BP36" s="357" t="s">
        <v>768</v>
      </c>
      <c r="BQ36" s="91"/>
      <c r="BR36" s="358">
        <v>5024</v>
      </c>
      <c r="BS36" s="358">
        <v>4904817</v>
      </c>
      <c r="BT36" s="359">
        <v>587.44000000000005</v>
      </c>
    </row>
    <row r="37" spans="1:72">
      <c r="A37" s="360" t="s">
        <v>769</v>
      </c>
      <c r="B37" s="91"/>
      <c r="C37" s="91"/>
      <c r="D37" s="358">
        <v>5031</v>
      </c>
      <c r="E37" s="358">
        <v>5470215</v>
      </c>
      <c r="F37" s="359">
        <v>591.88</v>
      </c>
      <c r="G37" s="360" t="s">
        <v>769</v>
      </c>
      <c r="H37" s="91"/>
      <c r="I37" s="91"/>
      <c r="J37" s="358">
        <v>4991</v>
      </c>
      <c r="K37" s="358">
        <v>8078464</v>
      </c>
      <c r="L37" s="359">
        <v>677.9</v>
      </c>
      <c r="M37" s="360" t="s">
        <v>769</v>
      </c>
      <c r="N37" s="91"/>
      <c r="O37" s="91"/>
      <c r="P37" s="358">
        <v>2531</v>
      </c>
      <c r="Q37" s="358">
        <v>2921678</v>
      </c>
      <c r="R37" s="359">
        <v>419</v>
      </c>
      <c r="S37" s="360" t="s">
        <v>769</v>
      </c>
      <c r="T37" s="91"/>
      <c r="U37" s="91"/>
      <c r="V37" s="358">
        <v>4998</v>
      </c>
      <c r="W37" s="358">
        <v>5710266</v>
      </c>
      <c r="X37" s="359">
        <v>543.33000000000004</v>
      </c>
      <c r="Y37" s="360" t="s">
        <v>769</v>
      </c>
      <c r="Z37" s="91"/>
      <c r="AA37" s="91"/>
      <c r="AB37" s="358">
        <v>5131</v>
      </c>
      <c r="AC37" s="358">
        <v>4085816</v>
      </c>
      <c r="AD37" s="359">
        <v>533.35</v>
      </c>
      <c r="AE37" s="360" t="s">
        <v>769</v>
      </c>
      <c r="AF37" s="91"/>
      <c r="AG37" s="91"/>
      <c r="AH37" s="358">
        <v>5223</v>
      </c>
      <c r="AI37" s="358">
        <v>3220929</v>
      </c>
      <c r="AJ37" s="359">
        <v>438.53</v>
      </c>
      <c r="AK37" s="360" t="s">
        <v>769</v>
      </c>
      <c r="AL37" s="91"/>
      <c r="AM37" s="91"/>
      <c r="AN37" s="358">
        <v>5493</v>
      </c>
      <c r="AO37" s="358">
        <v>3374537</v>
      </c>
      <c r="AP37" s="359">
        <v>485.69</v>
      </c>
      <c r="AQ37" s="360" t="s">
        <v>769</v>
      </c>
      <c r="AR37" s="91"/>
      <c r="AS37" s="91"/>
      <c r="AT37" s="358">
        <v>5771</v>
      </c>
      <c r="AU37" s="358">
        <v>3587044</v>
      </c>
      <c r="AV37" s="359">
        <v>479.73</v>
      </c>
      <c r="AW37" s="360" t="s">
        <v>769</v>
      </c>
      <c r="AX37" s="91"/>
      <c r="AY37" s="91"/>
      <c r="AZ37" s="358">
        <v>5078</v>
      </c>
      <c r="BA37" s="358">
        <v>3664168</v>
      </c>
      <c r="BB37" s="359">
        <v>544.11</v>
      </c>
      <c r="BC37" s="360" t="s">
        <v>769</v>
      </c>
      <c r="BD37" s="91"/>
      <c r="BE37" s="91"/>
      <c r="BF37" s="358">
        <v>4998</v>
      </c>
      <c r="BG37" s="358">
        <v>3654927</v>
      </c>
      <c r="BH37" s="359">
        <v>511.1</v>
      </c>
      <c r="BI37" s="360" t="s">
        <v>769</v>
      </c>
      <c r="BJ37" s="91"/>
      <c r="BK37" s="91"/>
      <c r="BL37" s="358">
        <v>4996</v>
      </c>
      <c r="BM37" s="358">
        <v>4150663</v>
      </c>
      <c r="BN37" s="359">
        <v>543.04999999999995</v>
      </c>
      <c r="BO37" s="360" t="s">
        <v>769</v>
      </c>
      <c r="BP37" s="91"/>
      <c r="BQ37" s="91"/>
      <c r="BR37" s="358">
        <v>5024</v>
      </c>
      <c r="BS37" s="358">
        <v>4904817</v>
      </c>
      <c r="BT37" s="359">
        <v>587.44000000000005</v>
      </c>
    </row>
    <row r="38" spans="1:72">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row>
    <row r="39" spans="1:72">
      <c r="A39" s="361" t="s">
        <v>770</v>
      </c>
      <c r="B39" s="91"/>
      <c r="C39" s="91"/>
      <c r="D39" s="358">
        <v>6210</v>
      </c>
      <c r="E39" s="358">
        <v>25614971.440000001</v>
      </c>
      <c r="F39" s="362">
        <v>50803.67</v>
      </c>
      <c r="G39" s="361" t="s">
        <v>770</v>
      </c>
      <c r="H39" s="91"/>
      <c r="I39" s="91"/>
      <c r="J39" s="358">
        <v>6164</v>
      </c>
      <c r="K39" s="358">
        <v>35844056.729999997</v>
      </c>
      <c r="L39" s="362">
        <v>56559.87</v>
      </c>
      <c r="M39" s="361" t="s">
        <v>770</v>
      </c>
      <c r="N39" s="91"/>
      <c r="O39" s="91"/>
      <c r="P39" s="358">
        <v>3363</v>
      </c>
      <c r="Q39" s="358">
        <v>20495171.760000002</v>
      </c>
      <c r="R39" s="362">
        <v>49075.23</v>
      </c>
      <c r="S39" s="361" t="s">
        <v>770</v>
      </c>
      <c r="T39" s="91"/>
      <c r="U39" s="91"/>
      <c r="V39" s="358">
        <v>6181</v>
      </c>
      <c r="W39" s="358">
        <v>30139282.890000001</v>
      </c>
      <c r="X39" s="362">
        <v>54494.559999999998</v>
      </c>
      <c r="Y39" s="361" t="s">
        <v>770</v>
      </c>
      <c r="Z39" s="91"/>
      <c r="AA39" s="91"/>
      <c r="AB39" s="358">
        <v>6314</v>
      </c>
      <c r="AC39" s="358">
        <v>28668875.850000001</v>
      </c>
      <c r="AD39" s="362">
        <v>58821.73</v>
      </c>
      <c r="AE39" s="361" t="s">
        <v>770</v>
      </c>
      <c r="AF39" s="91"/>
      <c r="AG39" s="91"/>
      <c r="AH39" s="358">
        <v>6404</v>
      </c>
      <c r="AI39" s="358">
        <v>27465349.760000002</v>
      </c>
      <c r="AJ39" s="362">
        <v>54493.56</v>
      </c>
      <c r="AK39" s="361" t="s">
        <v>770</v>
      </c>
      <c r="AL39" s="91"/>
      <c r="AM39" s="91"/>
      <c r="AN39" s="358">
        <v>6672</v>
      </c>
      <c r="AO39" s="358">
        <v>25118998.449999999</v>
      </c>
      <c r="AP39" s="362">
        <v>54065.68</v>
      </c>
      <c r="AQ39" s="361" t="s">
        <v>770</v>
      </c>
      <c r="AR39" s="91"/>
      <c r="AS39" s="91"/>
      <c r="AT39" s="358">
        <v>6947</v>
      </c>
      <c r="AU39" s="358">
        <v>27188699.75</v>
      </c>
      <c r="AV39" s="362">
        <v>56154.69</v>
      </c>
      <c r="AW39" s="361" t="s">
        <v>770</v>
      </c>
      <c r="AX39" s="91"/>
      <c r="AY39" s="91"/>
      <c r="AZ39" s="358">
        <v>6264</v>
      </c>
      <c r="BA39" s="358">
        <v>29416392.52</v>
      </c>
      <c r="BB39" s="362">
        <v>60062.9</v>
      </c>
      <c r="BC39" s="361" t="s">
        <v>770</v>
      </c>
      <c r="BD39" s="91"/>
      <c r="BE39" s="91"/>
      <c r="BF39" s="358">
        <v>6171</v>
      </c>
      <c r="BG39" s="358">
        <v>27159051.84</v>
      </c>
      <c r="BH39" s="362">
        <v>60333.05</v>
      </c>
      <c r="BI39" s="361" t="s">
        <v>770</v>
      </c>
      <c r="BJ39" s="91"/>
      <c r="BK39" s="91"/>
      <c r="BL39" s="358">
        <v>6174</v>
      </c>
      <c r="BM39" s="358">
        <v>26328126.91</v>
      </c>
      <c r="BN39" s="362">
        <v>57537.62</v>
      </c>
      <c r="BO39" s="361" t="s">
        <v>770</v>
      </c>
      <c r="BP39" s="91"/>
      <c r="BQ39" s="91"/>
      <c r="BR39" s="358">
        <v>6203</v>
      </c>
      <c r="BS39" s="358">
        <v>26106698.16</v>
      </c>
      <c r="BT39" s="362">
        <v>57454.31</v>
      </c>
    </row>
    <row r="40" spans="1:72">
      <c r="A40" s="93" t="s">
        <v>55</v>
      </c>
      <c r="C40" s="92">
        <f>E36</f>
        <v>5470215</v>
      </c>
      <c r="D40" s="91"/>
      <c r="E40" s="91"/>
      <c r="F40" s="91"/>
      <c r="G40" s="93" t="s">
        <v>55</v>
      </c>
      <c r="I40" s="92">
        <f>K36</f>
        <v>8078464</v>
      </c>
      <c r="M40" s="93" t="s">
        <v>55</v>
      </c>
      <c r="O40" s="92">
        <f>Q36</f>
        <v>2921678</v>
      </c>
      <c r="S40" s="93" t="s">
        <v>55</v>
      </c>
      <c r="U40" s="92">
        <f>W36</f>
        <v>5710266</v>
      </c>
      <c r="Y40" s="93" t="s">
        <v>55</v>
      </c>
      <c r="AA40" s="92">
        <f>AC36</f>
        <v>4085816</v>
      </c>
      <c r="AE40" s="93" t="s">
        <v>55</v>
      </c>
      <c r="AG40" s="92">
        <f>AI36</f>
        <v>3220929</v>
      </c>
      <c r="AK40" s="93" t="s">
        <v>55</v>
      </c>
      <c r="AM40" s="92">
        <f>AO36</f>
        <v>3374537</v>
      </c>
      <c r="AQ40" s="93" t="s">
        <v>55</v>
      </c>
      <c r="AS40" s="92">
        <f>AU36</f>
        <v>3587044</v>
      </c>
      <c r="AW40" s="93" t="s">
        <v>55</v>
      </c>
      <c r="AY40" s="92">
        <f>BA36</f>
        <v>3664168</v>
      </c>
      <c r="BC40" s="93" t="s">
        <v>55</v>
      </c>
      <c r="BE40" s="92">
        <f>BG36</f>
        <v>3654927</v>
      </c>
      <c r="BI40" s="93" t="s">
        <v>55</v>
      </c>
      <c r="BK40" s="92">
        <f>BM36</f>
        <v>4150663</v>
      </c>
      <c r="BO40" s="93" t="s">
        <v>55</v>
      </c>
      <c r="BQ40" s="92">
        <f>BS36</f>
        <v>4904817</v>
      </c>
    </row>
    <row r="41" spans="1:72">
      <c r="A41" s="93" t="s">
        <v>56</v>
      </c>
      <c r="C41" s="92">
        <f>SUM(E18:E22)</f>
        <v>4305442</v>
      </c>
      <c r="D41" s="91"/>
      <c r="E41" s="91"/>
      <c r="F41" s="91"/>
      <c r="G41" s="93" t="s">
        <v>56</v>
      </c>
      <c r="I41" s="92">
        <f>SUM(K18:K22)</f>
        <v>6229193</v>
      </c>
      <c r="M41" s="93" t="s">
        <v>56</v>
      </c>
      <c r="O41" s="92">
        <f>SUM(Q18:Q22)</f>
        <v>3033808</v>
      </c>
      <c r="S41" s="93" t="s">
        <v>56</v>
      </c>
      <c r="U41" s="92">
        <f>SUM(W18:W22)</f>
        <v>4780451</v>
      </c>
      <c r="Y41" s="93" t="s">
        <v>56</v>
      </c>
      <c r="AA41" s="92">
        <f>SUM(AC18:AC22)</f>
        <v>4597085</v>
      </c>
      <c r="AE41" s="93" t="s">
        <v>56</v>
      </c>
      <c r="AG41" s="92">
        <f>SUM(AI18:AI22)</f>
        <v>4763819</v>
      </c>
      <c r="AK41" s="93" t="s">
        <v>56</v>
      </c>
      <c r="AM41" s="92">
        <f>SUM(AO18:AO22)</f>
        <v>4730345</v>
      </c>
      <c r="AQ41" s="93" t="s">
        <v>56</v>
      </c>
      <c r="AS41" s="92">
        <f>SUM(AU18:AU22)</f>
        <v>5010960</v>
      </c>
      <c r="AW41" s="93" t="s">
        <v>56</v>
      </c>
      <c r="AY41" s="92">
        <f>SUM(BA18:BA22)</f>
        <v>4774762</v>
      </c>
      <c r="BC41" s="93" t="s">
        <v>56</v>
      </c>
      <c r="BE41" s="92">
        <f>SUM(BG18:BG22)</f>
        <v>4516413</v>
      </c>
      <c r="BI41" s="93" t="s">
        <v>56</v>
      </c>
      <c r="BK41" s="92">
        <f>SUM(BM18:BM22)</f>
        <v>4348383</v>
      </c>
      <c r="BO41" s="93" t="s">
        <v>56</v>
      </c>
      <c r="BQ41" s="92">
        <f>SUM(BS18:BS22)</f>
        <v>4524119</v>
      </c>
    </row>
    <row r="42" spans="1:72">
      <c r="A42" s="93" t="s">
        <v>57</v>
      </c>
      <c r="C42" s="92">
        <f>SUM(E23)</f>
        <v>813600</v>
      </c>
      <c r="D42" s="91"/>
      <c r="E42" s="91"/>
      <c r="F42" s="91"/>
      <c r="G42" s="93" t="s">
        <v>57</v>
      </c>
      <c r="I42" s="92">
        <f>SUM(K23)</f>
        <v>1160400</v>
      </c>
      <c r="M42" s="93" t="s">
        <v>57</v>
      </c>
      <c r="O42" s="92">
        <f>SUM(Q23)</f>
        <v>0</v>
      </c>
      <c r="S42" s="93" t="s">
        <v>57</v>
      </c>
      <c r="U42" s="92">
        <f>SUM(W23)</f>
        <v>1220640</v>
      </c>
      <c r="Y42" s="93" t="s">
        <v>57</v>
      </c>
      <c r="AA42" s="92">
        <f>SUM(AC23)</f>
        <v>1077360</v>
      </c>
      <c r="AE42" s="93" t="s">
        <v>57</v>
      </c>
      <c r="AG42" s="92">
        <f>SUM(AI23)</f>
        <v>1159160</v>
      </c>
      <c r="AK42" s="93" t="s">
        <v>57</v>
      </c>
      <c r="AM42" s="92">
        <f>SUM(AO23)</f>
        <v>1104320</v>
      </c>
      <c r="AQ42" s="93" t="s">
        <v>57</v>
      </c>
      <c r="AS42" s="92">
        <f>SUM(AU23)</f>
        <v>1264240</v>
      </c>
      <c r="AW42" s="93" t="s">
        <v>57</v>
      </c>
      <c r="AY42" s="92">
        <f>SUM(BA23)</f>
        <v>1176520</v>
      </c>
      <c r="BC42" s="93" t="s">
        <v>57</v>
      </c>
      <c r="BE42" s="92">
        <f>SUM(BG23)</f>
        <v>1205200</v>
      </c>
      <c r="BI42" s="93" t="s">
        <v>57</v>
      </c>
      <c r="BK42" s="92">
        <f>SUM(BM23)</f>
        <v>1156080</v>
      </c>
      <c r="BO42" s="93" t="s">
        <v>57</v>
      </c>
      <c r="BQ42" s="92">
        <f>SUM(BS23)</f>
        <v>1103900</v>
      </c>
    </row>
    <row r="43" spans="1:72">
      <c r="A43" s="93" t="s">
        <v>772</v>
      </c>
      <c r="C43" s="92">
        <f>SUM(E24,E26,E27,E30)</f>
        <v>532678.43999999994</v>
      </c>
      <c r="D43" s="91"/>
      <c r="E43" s="91"/>
      <c r="F43" s="91"/>
      <c r="G43" s="93" t="s">
        <v>772</v>
      </c>
      <c r="I43" s="92">
        <f>SUM(K24,K26,K27,K30)</f>
        <v>700192.73</v>
      </c>
      <c r="M43" s="93" t="s">
        <v>772</v>
      </c>
      <c r="O43" s="92">
        <f>SUM(Q24,Q26,Q27,Q30)</f>
        <v>225110.76</v>
      </c>
      <c r="S43" s="93" t="s">
        <v>772</v>
      </c>
      <c r="U43" s="92">
        <f>SUM(W24,W26,W27,W30)</f>
        <v>691043.89</v>
      </c>
      <c r="Y43" s="93" t="s">
        <v>772</v>
      </c>
      <c r="AA43" s="92">
        <f>SUM(AC24,AC26,AC27,AC30)</f>
        <v>575501.85</v>
      </c>
      <c r="AE43" s="93" t="s">
        <v>772</v>
      </c>
      <c r="AG43" s="92">
        <f>SUM(AI24,AI26,AI27,AI30)</f>
        <v>625470.76</v>
      </c>
      <c r="AK43" s="93" t="s">
        <v>772</v>
      </c>
      <c r="AM43" s="92">
        <f>SUM(AO24,AO26,AO27,AO30)</f>
        <v>544055.44999999995</v>
      </c>
      <c r="AQ43" s="93" t="s">
        <v>772</v>
      </c>
      <c r="AS43" s="92">
        <f>SUM(AU24,AU26,AU27,AU30)</f>
        <v>530005.75</v>
      </c>
      <c r="AW43" s="93" t="s">
        <v>772</v>
      </c>
      <c r="AY43" s="92">
        <f>SUM(BA24,BA26,BA27,BA30)</f>
        <v>614005.52</v>
      </c>
      <c r="BC43" s="93" t="s">
        <v>772</v>
      </c>
      <c r="BE43" s="92">
        <f>SUM(BG24,BG26,BG27,BG30)</f>
        <v>624598.84</v>
      </c>
      <c r="BI43" s="93" t="s">
        <v>772</v>
      </c>
      <c r="BK43" s="92">
        <f>SUM(BM24,BM26,BM27,BM30)</f>
        <v>606614.91</v>
      </c>
      <c r="BO43" s="93" t="s">
        <v>772</v>
      </c>
      <c r="BQ43" s="92">
        <f>SUM(BS24,BS26,BS27,BS30)</f>
        <v>596567.16</v>
      </c>
    </row>
    <row r="44" spans="1:72">
      <c r="A44" s="93" t="s">
        <v>771</v>
      </c>
      <c r="C44" s="92">
        <f>E25</f>
        <v>33760</v>
      </c>
      <c r="D44" s="91"/>
      <c r="E44" s="91"/>
      <c r="F44" s="91"/>
      <c r="G44" s="93" t="s">
        <v>771</v>
      </c>
      <c r="I44" s="92">
        <f>K25</f>
        <v>36480</v>
      </c>
      <c r="M44" s="93" t="s">
        <v>771</v>
      </c>
      <c r="O44" s="92">
        <f>Q25</f>
        <v>29413</v>
      </c>
      <c r="S44" s="93" t="s">
        <v>771</v>
      </c>
      <c r="U44" s="92">
        <f>W25</f>
        <v>22420</v>
      </c>
      <c r="Y44" s="93" t="s">
        <v>771</v>
      </c>
      <c r="AA44" s="92">
        <f>AC25</f>
        <v>21946</v>
      </c>
      <c r="AE44" s="93" t="s">
        <v>771</v>
      </c>
      <c r="AG44" s="92">
        <f>AI25</f>
        <v>18938</v>
      </c>
      <c r="AK44" s="93" t="s">
        <v>771</v>
      </c>
      <c r="AM44" s="92">
        <f>AO25</f>
        <v>21275</v>
      </c>
      <c r="AQ44" s="93" t="s">
        <v>771</v>
      </c>
      <c r="AS44" s="92">
        <f>AU25</f>
        <v>17598</v>
      </c>
      <c r="AW44" s="93" t="s">
        <v>771</v>
      </c>
      <c r="AY44" s="92">
        <f>BA25</f>
        <v>21545</v>
      </c>
      <c r="BC44" s="93" t="s">
        <v>771</v>
      </c>
      <c r="BE44" s="92">
        <f>BG25</f>
        <v>18681</v>
      </c>
      <c r="BI44" s="93" t="s">
        <v>771</v>
      </c>
      <c r="BK44" s="92">
        <f>BM25</f>
        <v>21264</v>
      </c>
      <c r="BO44" s="93" t="s">
        <v>771</v>
      </c>
      <c r="BQ44" s="92">
        <f>BS25</f>
        <v>24906</v>
      </c>
    </row>
    <row r="45" spans="1:72">
      <c r="A45" s="473" t="s">
        <v>966</v>
      </c>
      <c r="B45" s="70"/>
      <c r="C45" s="71"/>
      <c r="D45" s="91"/>
      <c r="E45" s="91"/>
      <c r="F45" s="91"/>
    </row>
    <row r="46" spans="1:72">
      <c r="A46" s="474" t="s">
        <v>55</v>
      </c>
      <c r="B46" s="33"/>
      <c r="C46" s="308">
        <f>SUM(C40,I40,O40,U40,AA40,AG40,AM40,AS40,AY40,BE40,BK40,BQ40)</f>
        <v>52823524</v>
      </c>
    </row>
    <row r="47" spans="1:72">
      <c r="A47" s="474" t="s">
        <v>56</v>
      </c>
      <c r="B47" s="33"/>
      <c r="C47" s="308">
        <f>SUM(C41,I41,O41,U41,AA41,AG41,AM41,AS41,AY41,BE41,BK41,BQ41)</f>
        <v>55614780</v>
      </c>
    </row>
    <row r="48" spans="1:72">
      <c r="A48" s="474" t="s">
        <v>57</v>
      </c>
      <c r="B48" s="33"/>
      <c r="C48" s="308">
        <f t="shared" ref="C48:C50" si="0">SUM(C42,I42,O42,U42,AA42,AG42,AM42,AS42,AY42,BE42,BK42,BQ42)</f>
        <v>12441420</v>
      </c>
    </row>
    <row r="49" spans="1:3">
      <c r="A49" s="474" t="s">
        <v>772</v>
      </c>
      <c r="B49" s="33"/>
      <c r="C49" s="308">
        <f t="shared" si="0"/>
        <v>6865846.0600000005</v>
      </c>
    </row>
    <row r="50" spans="1:3">
      <c r="A50" s="475" t="s">
        <v>771</v>
      </c>
      <c r="B50" s="45"/>
      <c r="C50" s="476">
        <f t="shared" si="0"/>
        <v>288226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S73"/>
  <sheetViews>
    <sheetView topLeftCell="A31" workbookViewId="0">
      <selection activeCell="C42" sqref="C42"/>
    </sheetView>
  </sheetViews>
  <sheetFormatPr defaultRowHeight="15"/>
  <cols>
    <col min="1" max="1" width="21.28515625" customWidth="1"/>
    <col min="2" max="2" width="26.140625" bestFit="1" customWidth="1"/>
    <col min="3" max="3" width="18.140625" customWidth="1"/>
    <col min="4" max="4" width="14.7109375" style="150" bestFit="1" customWidth="1"/>
    <col min="5" max="5" width="11.140625" style="55" customWidth="1"/>
    <col min="6" max="6" width="11.42578125" style="698" customWidth="1"/>
    <col min="7" max="7" width="12" bestFit="1" customWidth="1"/>
    <col min="8" max="8" width="18" bestFit="1" customWidth="1"/>
    <col min="9" max="10" width="12.5703125" bestFit="1" customWidth="1"/>
    <col min="11" max="11" width="14.7109375" customWidth="1"/>
    <col min="12" max="12" width="11.85546875" bestFit="1" customWidth="1"/>
    <col min="13" max="13" width="12.42578125" customWidth="1"/>
    <col min="14" max="14" width="14.5703125" bestFit="1" customWidth="1"/>
    <col min="15" max="15" width="19.7109375" bestFit="1" customWidth="1"/>
    <col min="16" max="16" width="4.5703125" customWidth="1"/>
    <col min="17" max="17" width="13.85546875" customWidth="1"/>
  </cols>
  <sheetData>
    <row r="1" spans="1:19">
      <c r="A1" s="1" t="s">
        <v>869</v>
      </c>
      <c r="B1" s="1"/>
      <c r="C1" s="150"/>
      <c r="D1" s="55"/>
      <c r="E1"/>
      <c r="F1" s="697"/>
      <c r="S1" t="s">
        <v>2</v>
      </c>
    </row>
    <row r="2" spans="1:19">
      <c r="C2" s="150"/>
      <c r="D2" s="55"/>
      <c r="E2"/>
      <c r="F2" s="697"/>
      <c r="S2" t="s">
        <v>866</v>
      </c>
    </row>
    <row r="3" spans="1:19">
      <c r="A3" s="2" t="s">
        <v>693</v>
      </c>
      <c r="B3" s="2"/>
      <c r="C3" s="150"/>
      <c r="D3" s="55"/>
      <c r="E3"/>
      <c r="F3" s="697"/>
      <c r="S3" t="s">
        <v>588</v>
      </c>
    </row>
    <row r="4" spans="1:19" ht="17.25" customHeight="1">
      <c r="B4" s="2"/>
      <c r="C4" s="2"/>
      <c r="G4" s="1035" t="s">
        <v>774</v>
      </c>
      <c r="H4" s="1037"/>
      <c r="I4" s="1035" t="s">
        <v>775</v>
      </c>
      <c r="J4" s="1037"/>
      <c r="K4" s="1036"/>
      <c r="L4" s="1035" t="s">
        <v>776</v>
      </c>
      <c r="M4" s="1037"/>
      <c r="N4" s="1036"/>
      <c r="S4" t="s">
        <v>867</v>
      </c>
    </row>
    <row r="5" spans="1:19" s="151" customFormat="1" ht="33" customHeight="1">
      <c r="A5" s="172" t="s">
        <v>58</v>
      </c>
      <c r="B5" s="167" t="s">
        <v>1</v>
      </c>
      <c r="C5" s="168" t="s">
        <v>54</v>
      </c>
      <c r="D5" s="480" t="s">
        <v>695</v>
      </c>
      <c r="E5" s="1041" t="s">
        <v>696</v>
      </c>
      <c r="F5" s="1042"/>
      <c r="G5" s="170" t="s">
        <v>777</v>
      </c>
      <c r="H5" s="168" t="s">
        <v>778</v>
      </c>
      <c r="I5" s="170" t="s">
        <v>777</v>
      </c>
      <c r="J5" s="168" t="s">
        <v>778</v>
      </c>
      <c r="K5" s="174" t="s">
        <v>780</v>
      </c>
      <c r="L5" s="170" t="s">
        <v>777</v>
      </c>
      <c r="M5" s="168" t="s">
        <v>778</v>
      </c>
      <c r="N5" s="174" t="s">
        <v>780</v>
      </c>
      <c r="O5" s="172" t="s">
        <v>779</v>
      </c>
    </row>
    <row r="6" spans="1:19" s="150" customFormat="1">
      <c r="A6" s="165" t="s">
        <v>59</v>
      </c>
      <c r="B6" s="152" t="s">
        <v>773</v>
      </c>
      <c r="C6" s="153" t="s">
        <v>55</v>
      </c>
      <c r="D6" s="260">
        <f>'ATMOS NG Calculations'!H13</f>
        <v>289573.4802211998</v>
      </c>
      <c r="E6" s="1043">
        <f>1.023*D6</f>
        <v>296233.6702662874</v>
      </c>
      <c r="F6" s="1044"/>
      <c r="G6" s="153">
        <v>52.91</v>
      </c>
      <c r="H6" s="155">
        <f>G6*E6</f>
        <v>15673723.493789265</v>
      </c>
      <c r="I6" s="152">
        <v>5.0000000000000001E-3</v>
      </c>
      <c r="J6" s="164">
        <f>I6*$E6</f>
        <v>1481.168351331437</v>
      </c>
      <c r="K6" s="161">
        <f>J6*24</f>
        <v>35548.04043195449</v>
      </c>
      <c r="L6" s="152">
        <v>1E-4</v>
      </c>
      <c r="M6" s="164">
        <f>L6*$E6</f>
        <v>29.623367026628742</v>
      </c>
      <c r="N6" s="161">
        <f>M6*310</f>
        <v>9183.2437782549096</v>
      </c>
      <c r="O6" s="183">
        <f>SUM(H6,K6,N6)</f>
        <v>15718454.777999474</v>
      </c>
    </row>
    <row r="7" spans="1:19" s="150" customFormat="1">
      <c r="A7" s="165" t="s">
        <v>59</v>
      </c>
      <c r="B7" s="152" t="s">
        <v>773</v>
      </c>
      <c r="C7" s="153" t="s">
        <v>56</v>
      </c>
      <c r="D7" s="260">
        <f>'ATMOS NG Calculations'!H14</f>
        <v>193354.87374767178</v>
      </c>
      <c r="E7" s="1045">
        <f t="shared" ref="E7:E9" si="0">1.023*D7</f>
        <v>197802.03584386822</v>
      </c>
      <c r="F7" s="1046"/>
      <c r="G7" s="153">
        <v>52.91</v>
      </c>
      <c r="H7" s="155">
        <f>G7*E7</f>
        <v>10465705.716499066</v>
      </c>
      <c r="I7" s="152">
        <v>5.0000000000000001E-3</v>
      </c>
      <c r="J7" s="164">
        <f t="shared" ref="J7:J9" si="1">I7*$E7</f>
        <v>989.01017921934113</v>
      </c>
      <c r="K7" s="161">
        <f t="shared" ref="K7:K9" si="2">J7*24</f>
        <v>23736.244301264189</v>
      </c>
      <c r="L7" s="152">
        <v>1E-4</v>
      </c>
      <c r="M7" s="164">
        <f t="shared" ref="M7:M9" si="3">L7*$E7</f>
        <v>19.780203584386822</v>
      </c>
      <c r="N7" s="161">
        <f t="shared" ref="N7:N9" si="4">M7*310</f>
        <v>6131.8631111599152</v>
      </c>
      <c r="O7" s="183">
        <f t="shared" ref="O7:O9" si="5">SUM(H7,K7,N7)</f>
        <v>10495573.823911492</v>
      </c>
    </row>
    <row r="8" spans="1:19" s="150" customFormat="1">
      <c r="A8" s="165" t="s">
        <v>59</v>
      </c>
      <c r="B8" s="152" t="s">
        <v>773</v>
      </c>
      <c r="C8" s="153" t="s">
        <v>57</v>
      </c>
      <c r="D8" s="260">
        <f>'ATMOS NG Calculations'!H18</f>
        <v>281753.67891050584</v>
      </c>
      <c r="E8" s="1045">
        <f t="shared" si="0"/>
        <v>288234.01352544746</v>
      </c>
      <c r="F8" s="1046"/>
      <c r="G8" s="153">
        <v>52.91</v>
      </c>
      <c r="H8" s="155">
        <f>G8*E8</f>
        <v>15250461.655631425</v>
      </c>
      <c r="I8" s="152">
        <v>1E-4</v>
      </c>
      <c r="J8" s="164">
        <f t="shared" si="1"/>
        <v>28.823401352544746</v>
      </c>
      <c r="K8" s="161">
        <f t="shared" si="2"/>
        <v>691.76163246107387</v>
      </c>
      <c r="L8" s="152">
        <v>1E-4</v>
      </c>
      <c r="M8" s="164">
        <f t="shared" si="3"/>
        <v>28.823401352544746</v>
      </c>
      <c r="N8" s="161">
        <f t="shared" si="4"/>
        <v>8935.2544192888708</v>
      </c>
      <c r="O8" s="183">
        <f t="shared" si="5"/>
        <v>15260088.671683175</v>
      </c>
    </row>
    <row r="9" spans="1:19" s="150" customFormat="1">
      <c r="A9" s="166" t="s">
        <v>59</v>
      </c>
      <c r="B9" s="157" t="s">
        <v>773</v>
      </c>
      <c r="C9" s="153" t="s">
        <v>2267</v>
      </c>
      <c r="D9" s="261">
        <f>'ATMOS NG Calculations'!H19</f>
        <v>49313.88</v>
      </c>
      <c r="E9" s="1047">
        <f t="shared" si="0"/>
        <v>50448.099239999996</v>
      </c>
      <c r="F9" s="1048"/>
      <c r="G9" s="158">
        <v>52.91</v>
      </c>
      <c r="H9" s="159">
        <f>G9*E9</f>
        <v>2669208.9307883997</v>
      </c>
      <c r="I9" s="157">
        <v>5.0000000000000001E-3</v>
      </c>
      <c r="J9" s="173">
        <f t="shared" si="1"/>
        <v>252.2404962</v>
      </c>
      <c r="K9" s="162">
        <f t="shared" si="2"/>
        <v>6053.7719087999994</v>
      </c>
      <c r="L9" s="157">
        <v>1E-4</v>
      </c>
      <c r="M9" s="173">
        <f t="shared" si="3"/>
        <v>5.0448099239999999</v>
      </c>
      <c r="N9" s="162">
        <f t="shared" si="4"/>
        <v>1563.89107644</v>
      </c>
      <c r="O9" s="184">
        <f t="shared" si="5"/>
        <v>2676826.5937736398</v>
      </c>
    </row>
    <row r="10" spans="1:19" s="150" customFormat="1">
      <c r="A10" s="153"/>
      <c r="B10" s="153"/>
      <c r="C10" s="167" t="s">
        <v>863</v>
      </c>
      <c r="D10" s="479">
        <f>SUM(D6:D9)</f>
        <v>813995.91287937749</v>
      </c>
      <c r="E10" s="1047">
        <f>SUM(E6:E9)</f>
        <v>832717.81887560303</v>
      </c>
      <c r="F10" s="1051"/>
      <c r="G10" s="481"/>
      <c r="H10" s="282">
        <f t="shared" ref="H10:O10" si="6">SUM(H6:H9)</f>
        <v>44059099.796708152</v>
      </c>
      <c r="I10" s="482"/>
      <c r="J10" s="281">
        <f t="shared" si="6"/>
        <v>2751.2424281033232</v>
      </c>
      <c r="K10" s="282">
        <f t="shared" si="6"/>
        <v>66029.818274479752</v>
      </c>
      <c r="L10" s="485"/>
      <c r="M10" s="281">
        <f t="shared" si="6"/>
        <v>83.271781887560323</v>
      </c>
      <c r="N10" s="282">
        <f t="shared" si="6"/>
        <v>25814.252385143693</v>
      </c>
      <c r="O10" s="282">
        <f t="shared" si="6"/>
        <v>44150943.867367782</v>
      </c>
    </row>
    <row r="11" spans="1:19" s="153" customFormat="1">
      <c r="D11" s="154"/>
      <c r="E11" s="163"/>
      <c r="F11" s="163"/>
      <c r="H11" s="155"/>
    </row>
    <row r="12" spans="1:19" s="150" customFormat="1" ht="18">
      <c r="G12" s="1035" t="s">
        <v>774</v>
      </c>
      <c r="H12" s="1036"/>
      <c r="I12" s="1037" t="s">
        <v>775</v>
      </c>
      <c r="J12" s="1037"/>
      <c r="K12" s="1036"/>
      <c r="L12" s="1035" t="s">
        <v>776</v>
      </c>
      <c r="M12" s="1037"/>
      <c r="N12" s="1036"/>
    </row>
    <row r="13" spans="1:19" s="151" customFormat="1" ht="34.5" customHeight="1">
      <c r="A13" s="172" t="s">
        <v>58</v>
      </c>
      <c r="B13" s="167" t="s">
        <v>1</v>
      </c>
      <c r="C13" s="168" t="s">
        <v>54</v>
      </c>
      <c r="D13" s="172"/>
      <c r="E13" s="1054" t="s">
        <v>696</v>
      </c>
      <c r="F13" s="1055"/>
      <c r="G13" s="170" t="s">
        <v>777</v>
      </c>
      <c r="H13" s="171" t="s">
        <v>778</v>
      </c>
      <c r="I13" s="169" t="s">
        <v>777</v>
      </c>
      <c r="J13" s="168" t="s">
        <v>778</v>
      </c>
      <c r="K13" s="174" t="s">
        <v>780</v>
      </c>
      <c r="L13" s="170" t="s">
        <v>777</v>
      </c>
      <c r="M13" s="168" t="s">
        <v>778</v>
      </c>
      <c r="N13" s="174" t="s">
        <v>780</v>
      </c>
      <c r="O13" s="172" t="s">
        <v>779</v>
      </c>
    </row>
    <row r="14" spans="1:19" s="150" customFormat="1">
      <c r="A14" s="165" t="s">
        <v>60</v>
      </c>
      <c r="B14" s="152" t="s">
        <v>686</v>
      </c>
      <c r="C14" s="153" t="s">
        <v>55</v>
      </c>
      <c r="D14" s="152"/>
      <c r="E14" s="1043">
        <f>'BE.1.2 Calculations'!H5*'BE.1.2 Calculations'!B5</f>
        <v>1463</v>
      </c>
      <c r="F14" s="1044"/>
      <c r="G14" s="180">
        <v>62.98</v>
      </c>
      <c r="H14" s="161">
        <f>G14*E14</f>
        <v>92139.739999999991</v>
      </c>
      <c r="I14" s="181">
        <f>0.001/0.092</f>
        <v>1.0869565217391304E-2</v>
      </c>
      <c r="J14" s="164">
        <f>I14*$E14</f>
        <v>15.902173913043478</v>
      </c>
      <c r="K14" s="161">
        <f>J14*24</f>
        <v>381.6521739130435</v>
      </c>
      <c r="L14" s="181">
        <f>0.0001/0.092</f>
        <v>1.0869565217391304E-3</v>
      </c>
      <c r="M14" s="164">
        <f>L14*$E14</f>
        <v>1.5902173913043478</v>
      </c>
      <c r="N14" s="161">
        <f t="shared" ref="N14:N16" si="7">M14*310</f>
        <v>492.96739130434781</v>
      </c>
      <c r="O14" s="183">
        <f>SUM(H14,K14,N14)</f>
        <v>93014.359565217383</v>
      </c>
    </row>
    <row r="15" spans="1:19" s="150" customFormat="1">
      <c r="A15" s="165" t="s">
        <v>60</v>
      </c>
      <c r="B15" s="152" t="s">
        <v>685</v>
      </c>
      <c r="C15" s="153" t="s">
        <v>55</v>
      </c>
      <c r="D15" s="152"/>
      <c r="E15" s="1045">
        <f>'BE.1.2 Calculations'!H6*'BE.1.2 Calculations'!B6</f>
        <v>34503</v>
      </c>
      <c r="F15" s="1046"/>
      <c r="G15" s="180">
        <v>73.959999999999994</v>
      </c>
      <c r="H15" s="161">
        <f>G15*E15</f>
        <v>2551841.88</v>
      </c>
      <c r="I15" s="181">
        <f>0.0015/0.138</f>
        <v>1.0869565217391304E-2</v>
      </c>
      <c r="J15" s="164">
        <f t="shared" ref="J15:J16" si="8">I15*$E15</f>
        <v>375.03260869565219</v>
      </c>
      <c r="K15" s="161">
        <f t="shared" ref="K15:K16" si="9">J15*24</f>
        <v>9000.782608695652</v>
      </c>
      <c r="L15" s="181">
        <f>0.0001/0.138</f>
        <v>7.246376811594203E-4</v>
      </c>
      <c r="M15" s="164">
        <f t="shared" ref="M15:M16" si="10">L15*$E15</f>
        <v>25.002173913043478</v>
      </c>
      <c r="N15" s="161">
        <f t="shared" si="7"/>
        <v>7750.673913043478</v>
      </c>
      <c r="O15" s="183">
        <f t="shared" ref="O15:O16" si="11">SUM(H15,K15,N15)</f>
        <v>2568593.3365217391</v>
      </c>
    </row>
    <row r="16" spans="1:19" s="150" customFormat="1">
      <c r="A16" s="166" t="s">
        <v>60</v>
      </c>
      <c r="B16" s="157" t="s">
        <v>590</v>
      </c>
      <c r="C16" s="158" t="s">
        <v>55</v>
      </c>
      <c r="D16" s="157"/>
      <c r="E16" s="1045">
        <f>'BE.1.2 Calculations'!H7*'BE.1.2 Calculations'!B7</f>
        <v>1788</v>
      </c>
      <c r="F16" s="1046"/>
      <c r="G16" s="250">
        <v>93.8</v>
      </c>
      <c r="H16" s="162">
        <f>G16*E16</f>
        <v>167714.4</v>
      </c>
      <c r="I16" s="182">
        <v>0.316</v>
      </c>
      <c r="J16" s="173">
        <f t="shared" si="8"/>
        <v>565.00800000000004</v>
      </c>
      <c r="K16" s="162">
        <f t="shared" si="9"/>
        <v>13560.192000000001</v>
      </c>
      <c r="L16" s="182">
        <v>4.1999999999999997E-3</v>
      </c>
      <c r="M16" s="173">
        <f t="shared" si="10"/>
        <v>7.5095999999999998</v>
      </c>
      <c r="N16" s="162">
        <f t="shared" si="7"/>
        <v>2327.9760000000001</v>
      </c>
      <c r="O16" s="184">
        <f t="shared" si="11"/>
        <v>183602.568</v>
      </c>
    </row>
    <row r="17" spans="1:15" s="150" customFormat="1">
      <c r="B17" s="153"/>
      <c r="C17" s="167" t="s">
        <v>863</v>
      </c>
      <c r="D17" s="653"/>
      <c r="E17" s="1052">
        <f>SUM(E14:E16)</f>
        <v>37754</v>
      </c>
      <c r="F17" s="1053"/>
      <c r="G17" s="281"/>
      <c r="H17" s="282">
        <f t="shared" ref="H17:O17" si="12">SUM(H14:H16)</f>
        <v>2811696.02</v>
      </c>
      <c r="I17" s="485"/>
      <c r="J17" s="281">
        <f t="shared" si="12"/>
        <v>955.94278260869578</v>
      </c>
      <c r="K17" s="282">
        <f t="shared" si="12"/>
        <v>22942.626782608699</v>
      </c>
      <c r="L17" s="485"/>
      <c r="M17" s="281">
        <f t="shared" si="12"/>
        <v>34.101991304347827</v>
      </c>
      <c r="N17" s="282">
        <f t="shared" si="12"/>
        <v>10571.617304347827</v>
      </c>
      <c r="O17" s="282">
        <f t="shared" si="12"/>
        <v>2845210.2640869566</v>
      </c>
    </row>
    <row r="18" spans="1:15">
      <c r="A18" s="2" t="s">
        <v>694</v>
      </c>
      <c r="C18" s="150"/>
      <c r="D18" s="55"/>
      <c r="E18" s="1056"/>
      <c r="F18" s="1056"/>
    </row>
    <row r="19" spans="1:15" ht="18">
      <c r="B19" s="2"/>
      <c r="E19" s="1056"/>
      <c r="F19" s="1056"/>
      <c r="G19" s="1038" t="s">
        <v>774</v>
      </c>
      <c r="H19" s="1039"/>
      <c r="I19" s="1037" t="s">
        <v>775</v>
      </c>
      <c r="J19" s="1037"/>
      <c r="K19" s="1036"/>
      <c r="L19" s="1035" t="s">
        <v>776</v>
      </c>
      <c r="M19" s="1037"/>
      <c r="N19" s="1036"/>
    </row>
    <row r="20" spans="1:15" s="150" customFormat="1" ht="30">
      <c r="A20" s="172" t="s">
        <v>58</v>
      </c>
      <c r="B20" s="167" t="s">
        <v>697</v>
      </c>
      <c r="C20" s="171" t="s">
        <v>54</v>
      </c>
      <c r="D20" s="169" t="s">
        <v>700</v>
      </c>
      <c r="E20" s="1052" t="s">
        <v>696</v>
      </c>
      <c r="F20" s="1053"/>
      <c r="G20" s="170" t="s">
        <v>777</v>
      </c>
      <c r="H20" s="171" t="s">
        <v>778</v>
      </c>
      <c r="I20" s="169" t="s">
        <v>777</v>
      </c>
      <c r="J20" s="168" t="s">
        <v>778</v>
      </c>
      <c r="K20" s="174" t="s">
        <v>780</v>
      </c>
      <c r="L20" s="170" t="s">
        <v>777</v>
      </c>
      <c r="M20" s="168" t="s">
        <v>778</v>
      </c>
      <c r="N20" s="174" t="s">
        <v>780</v>
      </c>
      <c r="O20" s="172" t="s">
        <v>779</v>
      </c>
    </row>
    <row r="21" spans="1:15" s="150" customFormat="1">
      <c r="A21" s="165" t="s">
        <v>699</v>
      </c>
      <c r="B21" s="631" t="s">
        <v>698</v>
      </c>
      <c r="C21" s="632" t="s">
        <v>55</v>
      </c>
      <c r="D21" s="175">
        <f>'2010 - 2012 APCO Billed kWh''s'!N18</f>
        <v>102133588</v>
      </c>
      <c r="E21" s="1043">
        <f>D21*3412.12/1000000</f>
        <v>348492.05828656</v>
      </c>
      <c r="F21" s="1044"/>
      <c r="G21" s="249">
        <f>'APCO Emission Factors'!H$4*0.454/3412.12*1000</f>
        <v>220.73842655006274</v>
      </c>
      <c r="H21" s="178">
        <f t="shared" ref="H21:H28" si="13">G21*E21</f>
        <v>76925588.611368015</v>
      </c>
      <c r="I21" s="176">
        <f>18.12*0.454/3412.12</f>
        <v>2.4109585829337776E-3</v>
      </c>
      <c r="J21" s="155">
        <f t="shared" ref="J21:J28" si="14">I21*E21</f>
        <v>840.19991901024014</v>
      </c>
      <c r="K21" s="161">
        <f>J21*24</f>
        <v>20164.798056245763</v>
      </c>
      <c r="L21" s="176">
        <f>25.13*0.454/3412.12</f>
        <v>3.3436749000621316E-3</v>
      </c>
      <c r="M21" s="155">
        <f t="shared" ref="M21:M28" si="15">L21*E21</f>
        <v>1165.24414816376</v>
      </c>
      <c r="N21" s="161">
        <f t="shared" ref="N21:N28" si="16">M21*310</f>
        <v>361225.68593076558</v>
      </c>
      <c r="O21" s="183">
        <f>SUM(H21,K21,N21)</f>
        <v>77306979.095355019</v>
      </c>
    </row>
    <row r="22" spans="1:15" s="150" customFormat="1">
      <c r="A22" s="165" t="s">
        <v>699</v>
      </c>
      <c r="B22" s="152" t="s">
        <v>698</v>
      </c>
      <c r="C22" s="156" t="s">
        <v>56</v>
      </c>
      <c r="D22" s="175">
        <f>SUM('2010 - 2012 APCO Billed kWh''s'!N19:N20)</f>
        <v>52651061</v>
      </c>
      <c r="E22" s="1045">
        <f>D22*3412.12/1000000</f>
        <v>179651.73825932</v>
      </c>
      <c r="F22" s="1046"/>
      <c r="G22" s="249">
        <f>'APCO Emission Factors'!H$4*0.454/3412.12*1000</f>
        <v>220.73842655006274</v>
      </c>
      <c r="H22" s="178">
        <f t="shared" si="13"/>
        <v>39656042.030346006</v>
      </c>
      <c r="I22" s="176">
        <f t="shared" ref="I22:I28" si="17">18.12*0.454/3412.12</f>
        <v>2.4109585829337776E-3</v>
      </c>
      <c r="J22" s="155">
        <f t="shared" si="14"/>
        <v>433.13290029528008</v>
      </c>
      <c r="K22" s="161">
        <f t="shared" ref="K22:K28" si="18">J22*24</f>
        <v>10395.189607086722</v>
      </c>
      <c r="L22" s="176">
        <f t="shared" ref="L22:L28" si="19">25.13*0.454/3412.12</f>
        <v>3.3436749000621316E-3</v>
      </c>
      <c r="M22" s="155">
        <f t="shared" si="15"/>
        <v>600.69700797022006</v>
      </c>
      <c r="N22" s="161">
        <f t="shared" si="16"/>
        <v>186216.07247076821</v>
      </c>
      <c r="O22" s="183">
        <f t="shared" ref="O22:O28" si="20">SUM(H22,K22,N22)</f>
        <v>39852653.292423859</v>
      </c>
    </row>
    <row r="23" spans="1:15" s="150" customFormat="1">
      <c r="A23" s="165" t="s">
        <v>699</v>
      </c>
      <c r="B23" s="152" t="s">
        <v>698</v>
      </c>
      <c r="C23" s="156" t="s">
        <v>57</v>
      </c>
      <c r="D23" s="175">
        <f>'2010 - 2012 APCO Billed kWh''s'!N21</f>
        <v>50921950</v>
      </c>
      <c r="E23" s="1045">
        <f>D23*3412.12/1000000</f>
        <v>173751.804034</v>
      </c>
      <c r="F23" s="1046"/>
      <c r="G23" s="249">
        <f>'APCO Emission Factors'!H$4*0.454/3412.12*1000</f>
        <v>220.73842655006274</v>
      </c>
      <c r="H23" s="178">
        <f t="shared" si="13"/>
        <v>38353699.832700007</v>
      </c>
      <c r="I23" s="176">
        <f t="shared" si="17"/>
        <v>2.4109585829337776E-3</v>
      </c>
      <c r="J23" s="155">
        <f t="shared" si="14"/>
        <v>418.90840323600008</v>
      </c>
      <c r="K23" s="161">
        <f t="shared" si="18"/>
        <v>10053.801677664002</v>
      </c>
      <c r="L23" s="176">
        <f t="shared" si="19"/>
        <v>3.3436749000621316E-3</v>
      </c>
      <c r="M23" s="155">
        <f t="shared" si="15"/>
        <v>580.96954598900004</v>
      </c>
      <c r="N23" s="161">
        <f t="shared" si="16"/>
        <v>180100.55925659</v>
      </c>
      <c r="O23" s="183">
        <f t="shared" si="20"/>
        <v>38543854.193634264</v>
      </c>
    </row>
    <row r="24" spans="1:15" s="150" customFormat="1">
      <c r="A24" s="165" t="s">
        <v>699</v>
      </c>
      <c r="B24" s="152" t="s">
        <v>698</v>
      </c>
      <c r="C24" s="156" t="s">
        <v>2267</v>
      </c>
      <c r="D24" s="175">
        <f>SUM('2010 - 2012 APCO Billed kWh''s'!N22:N24)</f>
        <v>10610963</v>
      </c>
      <c r="E24" s="1045">
        <f t="shared" ref="E24:E28" si="21">D24*3412.12/1000000</f>
        <v>36205.879071559997</v>
      </c>
      <c r="F24" s="1046"/>
      <c r="G24" s="249">
        <f>'APCO Emission Factors'!H$4*0.454/3412.12*1000</f>
        <v>220.73842655006274</v>
      </c>
      <c r="H24" s="178">
        <f t="shared" si="13"/>
        <v>7992028.7781180004</v>
      </c>
      <c r="I24" s="176">
        <f t="shared" si="17"/>
        <v>2.4109585829337776E-3</v>
      </c>
      <c r="J24" s="155">
        <f t="shared" si="14"/>
        <v>87.290874900239999</v>
      </c>
      <c r="K24" s="161">
        <f t="shared" si="18"/>
        <v>2094.98099760576</v>
      </c>
      <c r="L24" s="176">
        <f t="shared" si="19"/>
        <v>3.3436749000621316E-3</v>
      </c>
      <c r="M24" s="155">
        <f t="shared" si="15"/>
        <v>121.06068908626</v>
      </c>
      <c r="N24" s="161">
        <f t="shared" si="16"/>
        <v>37528.813616740597</v>
      </c>
      <c r="O24" s="183">
        <f t="shared" si="20"/>
        <v>8031652.5727323471</v>
      </c>
    </row>
    <row r="25" spans="1:15" s="150" customFormat="1">
      <c r="A25" s="165" t="s">
        <v>699</v>
      </c>
      <c r="B25" s="152" t="s">
        <v>717</v>
      </c>
      <c r="C25" s="156" t="s">
        <v>55</v>
      </c>
      <c r="D25" s="175">
        <f>'2011 VTES Billed kWh''s'!C46</f>
        <v>54158020</v>
      </c>
      <c r="E25" s="1045">
        <f t="shared" si="21"/>
        <v>184793.6632024</v>
      </c>
      <c r="F25" s="1046"/>
      <c r="G25" s="249">
        <f>'APCO Emission Factors'!H$4*0.454/3412.12*1000</f>
        <v>220.73842655006274</v>
      </c>
      <c r="H25" s="178">
        <f t="shared" si="13"/>
        <v>40791062.451720007</v>
      </c>
      <c r="I25" s="176">
        <f t="shared" si="17"/>
        <v>2.4109585829337776E-3</v>
      </c>
      <c r="J25" s="155">
        <f t="shared" si="14"/>
        <v>445.52986836960008</v>
      </c>
      <c r="K25" s="161">
        <f t="shared" si="18"/>
        <v>10692.716840870402</v>
      </c>
      <c r="L25" s="176">
        <f t="shared" si="19"/>
        <v>3.3436749000621316E-3</v>
      </c>
      <c r="M25" s="155">
        <f t="shared" si="15"/>
        <v>617.88993334040003</v>
      </c>
      <c r="N25" s="161">
        <f t="shared" si="16"/>
        <v>191545.87933552402</v>
      </c>
      <c r="O25" s="183">
        <f t="shared" si="20"/>
        <v>40993301.0478964</v>
      </c>
    </row>
    <row r="26" spans="1:15" s="150" customFormat="1">
      <c r="A26" s="165" t="s">
        <v>699</v>
      </c>
      <c r="B26" s="152" t="s">
        <v>717</v>
      </c>
      <c r="C26" s="156" t="s">
        <v>56</v>
      </c>
      <c r="D26" s="175">
        <f>'2011 VTES Billed kWh''s'!C47</f>
        <v>58042586</v>
      </c>
      <c r="E26" s="1045">
        <f t="shared" si="21"/>
        <v>198048.26854232</v>
      </c>
      <c r="F26" s="1046"/>
      <c r="G26" s="249">
        <f>'APCO Emission Factors'!H$4*0.454/3412.12*1000</f>
        <v>220.73842655006274</v>
      </c>
      <c r="H26" s="178">
        <f t="shared" si="13"/>
        <v>43716863.178996004</v>
      </c>
      <c r="I26" s="176">
        <f t="shared" si="17"/>
        <v>2.4109585829337776E-3</v>
      </c>
      <c r="J26" s="155">
        <f t="shared" si="14"/>
        <v>477.48617287728007</v>
      </c>
      <c r="K26" s="161">
        <f t="shared" si="18"/>
        <v>11459.668149054722</v>
      </c>
      <c r="L26" s="176">
        <f t="shared" si="19"/>
        <v>3.3436749000621316E-3</v>
      </c>
      <c r="M26" s="155">
        <f t="shared" si="15"/>
        <v>662.20902452572</v>
      </c>
      <c r="N26" s="161">
        <f t="shared" si="16"/>
        <v>205284.79760297321</v>
      </c>
      <c r="O26" s="183">
        <f t="shared" si="20"/>
        <v>43933607.644748032</v>
      </c>
    </row>
    <row r="27" spans="1:15" s="150" customFormat="1">
      <c r="A27" s="165" t="s">
        <v>699</v>
      </c>
      <c r="B27" s="152" t="s">
        <v>717</v>
      </c>
      <c r="C27" s="156" t="s">
        <v>57</v>
      </c>
      <c r="D27" s="175">
        <f>'2011 VTES Billed kWh''s'!C48</f>
        <v>14131780</v>
      </c>
      <c r="E27" s="1045">
        <f t="shared" si="21"/>
        <v>48219.329173599996</v>
      </c>
      <c r="F27" s="1046"/>
      <c r="G27" s="249">
        <f>'APCO Emission Factors'!H$4*0.454/3412.12*1000</f>
        <v>220.73842655006274</v>
      </c>
      <c r="H27" s="178">
        <f t="shared" si="13"/>
        <v>10643858.85108</v>
      </c>
      <c r="I27" s="176">
        <f t="shared" si="17"/>
        <v>2.4109585829337776E-3</v>
      </c>
      <c r="J27" s="155">
        <f t="shared" si="14"/>
        <v>116.25480553440001</v>
      </c>
      <c r="K27" s="161">
        <f t="shared" si="18"/>
        <v>2790.1153328256</v>
      </c>
      <c r="L27" s="176">
        <f t="shared" si="19"/>
        <v>3.3436749000621316E-3</v>
      </c>
      <c r="M27" s="155">
        <f t="shared" si="15"/>
        <v>161.22976065559999</v>
      </c>
      <c r="N27" s="161">
        <f t="shared" si="16"/>
        <v>49981.225803235997</v>
      </c>
      <c r="O27" s="183">
        <f t="shared" si="20"/>
        <v>10696630.192216061</v>
      </c>
    </row>
    <row r="28" spans="1:15" s="150" customFormat="1">
      <c r="A28" s="166" t="s">
        <v>699</v>
      </c>
      <c r="B28" s="157" t="s">
        <v>717</v>
      </c>
      <c r="C28" s="160" t="s">
        <v>2267</v>
      </c>
      <c r="D28" s="175">
        <f>'2011 VTES Billed kWh''s'!C49</f>
        <v>5246879.76</v>
      </c>
      <c r="E28" s="1047">
        <f t="shared" si="21"/>
        <v>17902.983366691202</v>
      </c>
      <c r="F28" s="1048"/>
      <c r="G28" s="249">
        <f>'APCO Emission Factors'!H$4*0.454/3412.12*1000</f>
        <v>220.73842655006274</v>
      </c>
      <c r="H28" s="179">
        <f t="shared" si="13"/>
        <v>3951876.3789153607</v>
      </c>
      <c r="I28" s="177">
        <f t="shared" si="17"/>
        <v>2.4109585829337776E-3</v>
      </c>
      <c r="J28" s="159">
        <f t="shared" si="14"/>
        <v>43.163351408044811</v>
      </c>
      <c r="K28" s="162">
        <f t="shared" si="18"/>
        <v>1035.9204337930755</v>
      </c>
      <c r="L28" s="177">
        <f t="shared" si="19"/>
        <v>3.3436749000621316E-3</v>
      </c>
      <c r="M28" s="159">
        <f t="shared" si="15"/>
        <v>59.861756119435206</v>
      </c>
      <c r="N28" s="162">
        <f t="shared" si="16"/>
        <v>18557.144397024913</v>
      </c>
      <c r="O28" s="184">
        <f t="shared" si="20"/>
        <v>3971469.4437461789</v>
      </c>
    </row>
    <row r="29" spans="1:15">
      <c r="C29" s="167" t="s">
        <v>863</v>
      </c>
      <c r="D29" s="479"/>
      <c r="E29" s="1052">
        <f>SUM(E21:E28)</f>
        <v>1187065.7239364514</v>
      </c>
      <c r="F29" s="1053"/>
      <c r="G29" s="485"/>
      <c r="H29" s="282">
        <f t="shared" ref="H29:O29" si="22">SUM(H21:H28)</f>
        <v>262031020.1132434</v>
      </c>
      <c r="I29" s="485"/>
      <c r="J29" s="281">
        <f t="shared" si="22"/>
        <v>2861.9662956310854</v>
      </c>
      <c r="K29" s="282">
        <f t="shared" si="22"/>
        <v>68687.191095146045</v>
      </c>
      <c r="L29" s="485"/>
      <c r="M29" s="281">
        <f t="shared" si="22"/>
        <v>3969.1618658503953</v>
      </c>
      <c r="N29" s="282">
        <f t="shared" si="22"/>
        <v>1230440.1784136228</v>
      </c>
      <c r="O29" s="282">
        <f t="shared" si="22"/>
        <v>263330147.4827522</v>
      </c>
    </row>
    <row r="30" spans="1:15">
      <c r="A30" s="185" t="s">
        <v>784</v>
      </c>
      <c r="F30"/>
    </row>
    <row r="31" spans="1:15" ht="18">
      <c r="B31" s="2"/>
      <c r="E31" s="150"/>
      <c r="F31" s="55"/>
      <c r="G31" s="1035" t="s">
        <v>774</v>
      </c>
      <c r="H31" s="1036"/>
      <c r="I31" s="1037" t="s">
        <v>775</v>
      </c>
      <c r="J31" s="1037"/>
      <c r="K31" s="1036"/>
      <c r="L31" s="1035" t="s">
        <v>776</v>
      </c>
      <c r="M31" s="1037"/>
      <c r="N31" s="1036"/>
    </row>
    <row r="32" spans="1:15" s="150" customFormat="1" ht="46.5" customHeight="1">
      <c r="A32" s="172" t="s">
        <v>58</v>
      </c>
      <c r="B32" s="167" t="s">
        <v>783</v>
      </c>
      <c r="C32" s="171" t="s">
        <v>54</v>
      </c>
      <c r="D32" s="169" t="s">
        <v>820</v>
      </c>
      <c r="E32" s="552" t="s">
        <v>696</v>
      </c>
      <c r="F32" s="478" t="s">
        <v>854</v>
      </c>
      <c r="G32" s="170" t="s">
        <v>850</v>
      </c>
      <c r="H32" s="171" t="s">
        <v>778</v>
      </c>
      <c r="I32" s="169" t="s">
        <v>851</v>
      </c>
      <c r="J32" s="168" t="s">
        <v>778</v>
      </c>
      <c r="K32" s="174" t="s">
        <v>780</v>
      </c>
      <c r="L32" s="170" t="s">
        <v>851</v>
      </c>
      <c r="M32" s="168" t="s">
        <v>778</v>
      </c>
      <c r="N32" s="174" t="s">
        <v>780</v>
      </c>
      <c r="O32" s="172" t="s">
        <v>779</v>
      </c>
    </row>
    <row r="33" spans="1:15">
      <c r="A33" s="251" t="s">
        <v>781</v>
      </c>
      <c r="B33" s="254" t="s">
        <v>855</v>
      </c>
      <c r="C33" s="255" t="s">
        <v>782</v>
      </c>
      <c r="D33" s="494">
        <f>SUM('VDOT VMT Totals'!J$23,'VDOT VMT Totals'!J22)*60.6/60.9</f>
        <v>149363435.76717228</v>
      </c>
      <c r="E33" s="546">
        <f>F33*'Transportation Fuel Information'!$R$31</f>
        <v>764546.35717512167</v>
      </c>
      <c r="F33" s="262">
        <f>D33/'Vehicle Fuel Efficiency'!X7</f>
        <v>6359824.9567451784</v>
      </c>
      <c r="G33" s="266">
        <v>8.7799999999999994</v>
      </c>
      <c r="H33" s="267">
        <f>G33*F33</f>
        <v>55839263.120222665</v>
      </c>
      <c r="I33" s="266">
        <f>0.028/1000</f>
        <v>2.8E-5</v>
      </c>
      <c r="J33" s="270">
        <f t="shared" ref="J33:J40" si="23">I33*D33</f>
        <v>4182.1762014808237</v>
      </c>
      <c r="K33" s="271">
        <f t="shared" ref="K33:K40" si="24">J33*24</f>
        <v>100372.22883553978</v>
      </c>
      <c r="L33" s="266">
        <f>0.029/1000</f>
        <v>2.9E-5</v>
      </c>
      <c r="M33" s="270">
        <f t="shared" ref="M33:M40" si="25">L33*D33</f>
        <v>4331.5396372479963</v>
      </c>
      <c r="N33" s="271">
        <f t="shared" ref="N33:N40" si="26">M33*310</f>
        <v>1342777.2875468789</v>
      </c>
      <c r="O33" s="273">
        <f>SUM(N33,K33,H33)</f>
        <v>57282412.636605084</v>
      </c>
    </row>
    <row r="34" spans="1:15">
      <c r="A34" s="252" t="s">
        <v>781</v>
      </c>
      <c r="B34" s="256" t="s">
        <v>862</v>
      </c>
      <c r="C34" s="257" t="s">
        <v>782</v>
      </c>
      <c r="D34" s="495">
        <f>SUM('VDOT VMT Totals'!J$23,'VDOT VMT Totals'!J22)*0.3/60.9</f>
        <v>739422.94934243697</v>
      </c>
      <c r="E34" s="547">
        <f>F34*'Transportation Fuel Information'!$R$32</f>
        <v>4184.7333372563635</v>
      </c>
      <c r="F34" s="263">
        <f>D34/'Vehicle Fuel Efficiency'!X7</f>
        <v>31484.281964085043</v>
      </c>
      <c r="G34" s="72">
        <v>10.210000000000001</v>
      </c>
      <c r="H34" s="268">
        <f t="shared" ref="H34:H40" si="27">G34*F34</f>
        <v>321454.51885330834</v>
      </c>
      <c r="I34" s="72">
        <f>0.001/1000</f>
        <v>9.9999999999999995E-7</v>
      </c>
      <c r="J34" s="248">
        <f t="shared" si="23"/>
        <v>0.73942294934243691</v>
      </c>
      <c r="K34" s="161">
        <f t="shared" si="24"/>
        <v>17.746150784218486</v>
      </c>
      <c r="L34" s="72">
        <f>0.001/1000</f>
        <v>9.9999999999999995E-7</v>
      </c>
      <c r="M34" s="248">
        <f t="shared" si="25"/>
        <v>0.73942294934243691</v>
      </c>
      <c r="N34" s="161">
        <f t="shared" si="26"/>
        <v>229.22111429615543</v>
      </c>
      <c r="O34" s="274">
        <f t="shared" ref="O34:O40" si="28">SUM(N34,K34,H34)</f>
        <v>321701.48611838871</v>
      </c>
    </row>
    <row r="35" spans="1:15">
      <c r="A35" s="252" t="s">
        <v>781</v>
      </c>
      <c r="B35" s="256" t="s">
        <v>856</v>
      </c>
      <c r="C35" s="257" t="s">
        <v>782</v>
      </c>
      <c r="D35" s="495">
        <f>'VDOT VMT Totals'!J$24*32.4/33.7</f>
        <v>20680177.683238629</v>
      </c>
      <c r="E35" s="547">
        <f>F35*'Transportation Fuel Information'!$R$31</f>
        <v>144358.43867735457</v>
      </c>
      <c r="F35" s="264">
        <f>$D35/'Vehicle Fuel Efficiency'!$X$8</f>
        <v>1200835.4920546901</v>
      </c>
      <c r="G35" s="72">
        <v>8.7799999999999994</v>
      </c>
      <c r="H35" s="268">
        <f t="shared" si="27"/>
        <v>10543335.620240178</v>
      </c>
      <c r="I35" s="72">
        <f>0.031/1000</f>
        <v>3.1000000000000001E-5</v>
      </c>
      <c r="J35" s="248">
        <f t="shared" si="23"/>
        <v>641.08550818039748</v>
      </c>
      <c r="K35" s="161">
        <f t="shared" si="24"/>
        <v>15386.05219632954</v>
      </c>
      <c r="L35" s="72">
        <f>0.043/1000</f>
        <v>4.2999999999999995E-5</v>
      </c>
      <c r="M35" s="248">
        <f t="shared" si="25"/>
        <v>889.24764037926093</v>
      </c>
      <c r="N35" s="161">
        <f t="shared" si="26"/>
        <v>275666.76851757086</v>
      </c>
      <c r="O35" s="274">
        <f t="shared" si="28"/>
        <v>10834388.440954078</v>
      </c>
    </row>
    <row r="36" spans="1:15">
      <c r="A36" s="252" t="s">
        <v>781</v>
      </c>
      <c r="B36" s="256" t="s">
        <v>857</v>
      </c>
      <c r="C36" s="257" t="s">
        <v>782</v>
      </c>
      <c r="D36" s="495">
        <f>'VDOT VMT Totals'!J$24*1.3/33.7</f>
        <v>829760.21568550065</v>
      </c>
      <c r="E36" s="547">
        <f>F36*'Transportation Fuel Information'!$R$32</f>
        <v>6404.0667979748132</v>
      </c>
      <c r="F36" s="264">
        <f>$D36/'Vehicle Fuel Efficiency'!$X$8</f>
        <v>48181.67097750301</v>
      </c>
      <c r="G36" s="72">
        <v>10.210000000000001</v>
      </c>
      <c r="H36" s="268">
        <f t="shared" si="27"/>
        <v>491934.86068030575</v>
      </c>
      <c r="I36" s="72">
        <f>0.001/1000</f>
        <v>9.9999999999999995E-7</v>
      </c>
      <c r="J36" s="248">
        <f t="shared" si="23"/>
        <v>0.82976021568550062</v>
      </c>
      <c r="K36" s="161">
        <f t="shared" si="24"/>
        <v>19.914245176452013</v>
      </c>
      <c r="L36" s="72">
        <f>0.001/1000</f>
        <v>9.9999999999999995E-7</v>
      </c>
      <c r="M36" s="248">
        <f t="shared" si="25"/>
        <v>0.82976021568550062</v>
      </c>
      <c r="N36" s="161">
        <f t="shared" si="26"/>
        <v>257.22566686250519</v>
      </c>
      <c r="O36" s="274">
        <f t="shared" si="28"/>
        <v>492212.00059234473</v>
      </c>
    </row>
    <row r="37" spans="1:15">
      <c r="A37" s="252" t="s">
        <v>853</v>
      </c>
      <c r="B37" s="256" t="s">
        <v>858</v>
      </c>
      <c r="C37" s="257" t="s">
        <v>782</v>
      </c>
      <c r="D37" s="495">
        <f>SUM('VDOT VMT Totals'!J$26:J$31)*0.292</f>
        <v>1170368.4022855747</v>
      </c>
      <c r="E37" s="547">
        <f>F37*'Transportation Fuel Information'!$R$31</f>
        <v>17945.897637852089</v>
      </c>
      <c r="F37" s="263">
        <f>D37/7.84</f>
        <v>149281.68396499677</v>
      </c>
      <c r="G37" s="72">
        <v>8.7799999999999994</v>
      </c>
      <c r="H37" s="268">
        <f t="shared" si="27"/>
        <v>1310693.1852126715</v>
      </c>
      <c r="I37" s="72">
        <f>0.033/1000</f>
        <v>3.3000000000000003E-5</v>
      </c>
      <c r="J37" s="248">
        <f t="shared" si="23"/>
        <v>38.622157275423966</v>
      </c>
      <c r="K37" s="161">
        <f t="shared" si="24"/>
        <v>926.93177461017513</v>
      </c>
      <c r="L37" s="72">
        <f>0.0134/1000</f>
        <v>1.34E-5</v>
      </c>
      <c r="M37" s="248">
        <f t="shared" si="25"/>
        <v>15.682936590626701</v>
      </c>
      <c r="N37" s="161">
        <f t="shared" si="26"/>
        <v>4861.7103430942771</v>
      </c>
      <c r="O37" s="274">
        <f t="shared" si="28"/>
        <v>1316481.827330376</v>
      </c>
    </row>
    <row r="38" spans="1:15">
      <c r="A38" s="252" t="s">
        <v>853</v>
      </c>
      <c r="B38" s="256" t="s">
        <v>859</v>
      </c>
      <c r="C38" s="257" t="s">
        <v>782</v>
      </c>
      <c r="D38" s="495">
        <f>SUM('VDOT VMT Totals'!J$26:J$31)*0.708</f>
        <v>2837742.5644458453</v>
      </c>
      <c r="E38" s="547">
        <f>F38*'Transportation Fuel Information'!$R$32</f>
        <v>52024.627993561313</v>
      </c>
      <c r="F38" s="263">
        <f>D38/7.25</f>
        <v>391412.76750977174</v>
      </c>
      <c r="G38" s="72">
        <v>10.210000000000001</v>
      </c>
      <c r="H38" s="268">
        <f t="shared" si="27"/>
        <v>3996324.3562747696</v>
      </c>
      <c r="I38" s="72">
        <f>0.0051/1000</f>
        <v>5.1000000000000003E-6</v>
      </c>
      <c r="J38" s="248">
        <f t="shared" si="23"/>
        <v>14.472487078673812</v>
      </c>
      <c r="K38" s="161">
        <f t="shared" si="24"/>
        <v>347.33968988817151</v>
      </c>
      <c r="L38" s="72">
        <f>0.0048/1000</f>
        <v>4.7999999999999998E-6</v>
      </c>
      <c r="M38" s="248">
        <f t="shared" si="25"/>
        <v>13.621164309340056</v>
      </c>
      <c r="N38" s="161">
        <f t="shared" si="26"/>
        <v>4222.5609358954171</v>
      </c>
      <c r="O38" s="274">
        <f t="shared" si="28"/>
        <v>4000894.2569005531</v>
      </c>
    </row>
    <row r="39" spans="1:15">
      <c r="A39" s="252" t="s">
        <v>853</v>
      </c>
      <c r="B39" s="256" t="s">
        <v>860</v>
      </c>
      <c r="C39" s="257" t="s">
        <v>782</v>
      </c>
      <c r="D39" s="495">
        <f>SUM('VDOT VMT Totals'!J$32:J$33,'VDOT VMT Totals'!J25)*0.025</f>
        <v>32991.905007117799</v>
      </c>
      <c r="E39" s="547">
        <f>F39*'Transportation Fuel Information'!$R$31</f>
        <v>490.85666589488443</v>
      </c>
      <c r="F39" s="263">
        <f>D39/8.08</f>
        <v>4083.1565602868563</v>
      </c>
      <c r="G39" s="72">
        <v>8.7799999999999994</v>
      </c>
      <c r="H39" s="268">
        <f t="shared" si="27"/>
        <v>35850.114599318593</v>
      </c>
      <c r="I39" s="72">
        <f>0.033/1000</f>
        <v>3.3000000000000003E-5</v>
      </c>
      <c r="J39" s="248">
        <f t="shared" si="23"/>
        <v>1.0887328652348875</v>
      </c>
      <c r="K39" s="161">
        <f t="shared" si="24"/>
        <v>26.129588765637301</v>
      </c>
      <c r="L39" s="72">
        <f>0.034/1000</f>
        <v>3.4E-5</v>
      </c>
      <c r="M39" s="248">
        <f t="shared" si="25"/>
        <v>1.1217247702420052</v>
      </c>
      <c r="N39" s="161">
        <f t="shared" si="26"/>
        <v>347.73467877502162</v>
      </c>
      <c r="O39" s="274">
        <f t="shared" si="28"/>
        <v>36223.978866859252</v>
      </c>
    </row>
    <row r="40" spans="1:15">
      <c r="A40" s="253" t="s">
        <v>853</v>
      </c>
      <c r="B40" s="258" t="s">
        <v>861</v>
      </c>
      <c r="C40" s="259" t="s">
        <v>782</v>
      </c>
      <c r="D40" s="496">
        <f>SUM('VDOT VMT Totals'!J$32:J$33,'VDOT VMT Totals'!J25)*0.975</f>
        <v>1286684.2952775939</v>
      </c>
      <c r="E40" s="545">
        <f>F40*'Transportation Fuel Information'!$R$32</f>
        <v>34272.473568501278</v>
      </c>
      <c r="F40" s="265">
        <f>D40/4.99</f>
        <v>257852.56418388654</v>
      </c>
      <c r="G40" s="217">
        <v>10.210000000000001</v>
      </c>
      <c r="H40" s="269">
        <f t="shared" si="27"/>
        <v>2632674.680317482</v>
      </c>
      <c r="I40" s="217">
        <f>0.0051/1000</f>
        <v>5.1000000000000003E-6</v>
      </c>
      <c r="J40" s="272">
        <f t="shared" si="23"/>
        <v>6.5620899059157294</v>
      </c>
      <c r="K40" s="162">
        <f t="shared" si="24"/>
        <v>157.4901577419775</v>
      </c>
      <c r="L40" s="217">
        <f>0.0048/1000</f>
        <v>4.7999999999999998E-6</v>
      </c>
      <c r="M40" s="272">
        <f t="shared" si="25"/>
        <v>6.1760846173324504</v>
      </c>
      <c r="N40" s="162">
        <f t="shared" si="26"/>
        <v>1914.5862313730597</v>
      </c>
      <c r="O40" s="275">
        <f t="shared" si="28"/>
        <v>2634746.7567065968</v>
      </c>
    </row>
    <row r="41" spans="1:15">
      <c r="C41" s="167" t="s">
        <v>863</v>
      </c>
      <c r="D41" s="479">
        <f>SUM(D33:D40)</f>
        <v>176940583.78245497</v>
      </c>
      <c r="E41" s="545">
        <f>SUM(E33:E40)</f>
        <v>1024227.4518535171</v>
      </c>
      <c r="F41" s="479"/>
      <c r="G41" s="485"/>
      <c r="H41" s="282">
        <f t="shared" ref="H41" si="29">SUM(H33:H40)</f>
        <v>75171530.456400692</v>
      </c>
      <c r="I41" s="485"/>
      <c r="J41" s="281">
        <f t="shared" ref="J41:K41" si="30">SUM(J33:J40)</f>
        <v>4885.5763599514976</v>
      </c>
      <c r="K41" s="282">
        <f t="shared" si="30"/>
        <v>117253.83263883596</v>
      </c>
      <c r="L41" s="485"/>
      <c r="M41" s="281">
        <f t="shared" ref="M41:O41" si="31">SUM(M33:M40)</f>
        <v>5258.9583710798261</v>
      </c>
      <c r="N41" s="282">
        <f t="shared" si="31"/>
        <v>1630277.0950347462</v>
      </c>
      <c r="O41" s="282">
        <f t="shared" si="31"/>
        <v>76919061.384074286</v>
      </c>
    </row>
    <row r="42" spans="1:15" s="697" customFormat="1">
      <c r="A42" s="185" t="s">
        <v>2061</v>
      </c>
      <c r="C42" s="1023"/>
      <c r="D42" s="628"/>
      <c r="E42" s="628"/>
      <c r="F42" s="628"/>
      <c r="G42" s="628"/>
      <c r="H42" s="628"/>
      <c r="I42" s="628"/>
      <c r="J42" s="628"/>
      <c r="K42" s="628"/>
      <c r="L42" s="628"/>
      <c r="M42" s="628"/>
      <c r="N42" s="628"/>
      <c r="O42" s="628"/>
    </row>
    <row r="43" spans="1:15" s="697" customFormat="1" ht="18">
      <c r="B43" s="2"/>
      <c r="D43" s="150"/>
      <c r="E43" s="698"/>
      <c r="F43" s="698"/>
      <c r="G43" s="1038" t="s">
        <v>774</v>
      </c>
      <c r="H43" s="1039"/>
      <c r="I43" s="1038" t="s">
        <v>775</v>
      </c>
      <c r="J43" s="1040"/>
      <c r="K43" s="1039"/>
      <c r="L43" s="1038" t="s">
        <v>776</v>
      </c>
      <c r="M43" s="1040"/>
      <c r="N43" s="1039"/>
    </row>
    <row r="44" spans="1:15" s="697" customFormat="1" ht="30">
      <c r="A44" s="792" t="s">
        <v>58</v>
      </c>
      <c r="B44" s="793" t="s">
        <v>2065</v>
      </c>
      <c r="C44" s="794" t="s">
        <v>54</v>
      </c>
      <c r="D44" s="480" t="s">
        <v>2067</v>
      </c>
      <c r="E44" s="1049" t="s">
        <v>696</v>
      </c>
      <c r="F44" s="1050"/>
      <c r="G44" s="657" t="s">
        <v>777</v>
      </c>
      <c r="H44" s="656" t="s">
        <v>778</v>
      </c>
      <c r="I44" s="169" t="s">
        <v>777</v>
      </c>
      <c r="J44" s="168" t="s">
        <v>778</v>
      </c>
      <c r="K44" s="658" t="s">
        <v>780</v>
      </c>
      <c r="L44" s="657" t="s">
        <v>777</v>
      </c>
      <c r="M44" s="168" t="s">
        <v>778</v>
      </c>
      <c r="N44" s="658" t="s">
        <v>780</v>
      </c>
      <c r="O44" s="172" t="s">
        <v>779</v>
      </c>
    </row>
    <row r="45" spans="1:15" s="697" customFormat="1">
      <c r="A45" s="630" t="s">
        <v>2074</v>
      </c>
      <c r="B45" s="795" t="s">
        <v>2073</v>
      </c>
      <c r="C45" s="632" t="s">
        <v>2063</v>
      </c>
      <c r="D45" s="175">
        <f>'Wastewater Data'!M$7</f>
        <v>971735966</v>
      </c>
      <c r="E45" s="1029"/>
      <c r="F45" s="1030"/>
      <c r="G45" s="249"/>
      <c r="H45" s="178"/>
      <c r="I45" s="176"/>
      <c r="J45" s="155">
        <f>D45/36525*1.25*0.09*(1-0.325)*0.6*0.8*365.25</f>
        <v>354197.75960699999</v>
      </c>
      <c r="K45" s="161">
        <f>J45*24</f>
        <v>8500746.2305679992</v>
      </c>
      <c r="L45" s="176"/>
      <c r="M45" s="155"/>
      <c r="N45" s="161"/>
      <c r="O45" s="183">
        <f t="shared" ref="O45:O47" si="32">SUM(H45,K45,N45)</f>
        <v>8500746.2305679992</v>
      </c>
    </row>
    <row r="46" spans="1:15" s="697" customFormat="1">
      <c r="A46" s="165" t="s">
        <v>2069</v>
      </c>
      <c r="B46" s="153" t="s">
        <v>2070</v>
      </c>
      <c r="C46" s="156" t="s">
        <v>2063</v>
      </c>
      <c r="D46" s="175">
        <f>'Wastewater Data'!M$7</f>
        <v>971735966</v>
      </c>
      <c r="E46" s="1031"/>
      <c r="F46" s="1032"/>
      <c r="G46" s="249"/>
      <c r="H46" s="178"/>
      <c r="I46" s="176"/>
      <c r="J46" s="155"/>
      <c r="K46" s="161"/>
      <c r="L46" s="176"/>
      <c r="M46" s="155">
        <f>D46/36500*1.25*7/1000</f>
        <v>232.95040280821917</v>
      </c>
      <c r="N46" s="161">
        <f>M46*310</f>
        <v>72214.624870547937</v>
      </c>
      <c r="O46" s="183">
        <f t="shared" si="32"/>
        <v>72214.624870547937</v>
      </c>
    </row>
    <row r="47" spans="1:15" s="697" customFormat="1">
      <c r="A47" s="165" t="s">
        <v>2075</v>
      </c>
      <c r="B47" s="153" t="s">
        <v>2076</v>
      </c>
      <c r="C47" s="156" t="s">
        <v>2063</v>
      </c>
      <c r="D47" s="175">
        <f>'Wastewater Data'!M$7</f>
        <v>971735966</v>
      </c>
      <c r="E47" s="1031"/>
      <c r="F47" s="1032"/>
      <c r="G47" s="249"/>
      <c r="H47" s="178"/>
      <c r="I47" s="176"/>
      <c r="J47" s="155"/>
      <c r="K47" s="161"/>
      <c r="L47" s="176"/>
      <c r="M47" s="155">
        <f>D47/36525*1.25*0.026*0.005*0.005*44/28*(1-0.07)*365.25</f>
        <v>11.538496974851784</v>
      </c>
      <c r="N47" s="161">
        <f>M47*310</f>
        <v>3576.9340622040531</v>
      </c>
      <c r="O47" s="183">
        <f t="shared" si="32"/>
        <v>3576.9340622040531</v>
      </c>
    </row>
    <row r="48" spans="1:15" s="697" customFormat="1">
      <c r="A48" s="166" t="s">
        <v>2068</v>
      </c>
      <c r="B48" s="158" t="s">
        <v>2071</v>
      </c>
      <c r="C48" s="160" t="s">
        <v>2063</v>
      </c>
      <c r="D48" s="175">
        <f>'Wastewater Data'!M$7</f>
        <v>971735966</v>
      </c>
      <c r="E48" s="1033">
        <f>(D48*2000+D48*280)/1000000*3412.14/1000000</f>
        <v>7559.794082582107</v>
      </c>
      <c r="F48" s="1034"/>
      <c r="G48" s="249">
        <f>'APCO Emission Factors'!I$4*0.454/3412.12*1000</f>
        <v>211.82373421802285</v>
      </c>
      <c r="H48" s="178">
        <f>G48*E48</f>
        <v>1601343.8124918542</v>
      </c>
      <c r="I48" s="176">
        <f>18.12*0.454/3412.12</f>
        <v>2.4109585829337776E-3</v>
      </c>
      <c r="J48" s="155">
        <f>I48*E48</f>
        <v>18.226350428613312</v>
      </c>
      <c r="K48" s="161">
        <f>J48*24</f>
        <v>437.43241028671946</v>
      </c>
      <c r="L48" s="176">
        <f>25.13*0.454/3412.12</f>
        <v>3.3436749000621316E-3</v>
      </c>
      <c r="M48" s="155">
        <f>L48*E48</f>
        <v>25.277493723568021</v>
      </c>
      <c r="N48" s="161">
        <f t="shared" ref="N48" si="33">M48*310</f>
        <v>7836.023054306087</v>
      </c>
      <c r="O48" s="183">
        <f>SUM(H48,K48,N48)</f>
        <v>1609617.2679564471</v>
      </c>
    </row>
    <row r="49" spans="1:16" s="697" customFormat="1">
      <c r="C49" s="629" t="s">
        <v>863</v>
      </c>
      <c r="D49" s="479"/>
      <c r="E49" s="1033">
        <f>SUM(E48:E48)</f>
        <v>7559.794082582107</v>
      </c>
      <c r="F49" s="1034"/>
      <c r="G49" s="653"/>
      <c r="H49" s="654">
        <f>SUM(H48:H48)</f>
        <v>1601343.8124918542</v>
      </c>
      <c r="I49" s="653"/>
      <c r="J49" s="281">
        <f>SUM(J48:J48)</f>
        <v>18.226350428613312</v>
      </c>
      <c r="K49" s="654">
        <f>SUM(K48:K48)</f>
        <v>437.43241028671946</v>
      </c>
      <c r="L49" s="653"/>
      <c r="M49" s="281">
        <f>SUM(M48:M48)</f>
        <v>25.277493723568021</v>
      </c>
      <c r="N49" s="654">
        <f>SUM(N48:N48)</f>
        <v>7836.023054306087</v>
      </c>
      <c r="O49" s="654">
        <f>SUM(O45:O48)</f>
        <v>10186155.057457197</v>
      </c>
    </row>
    <row r="50" spans="1:16" s="697" customFormat="1">
      <c r="A50" s="185" t="s">
        <v>2247</v>
      </c>
      <c r="C50" s="627"/>
      <c r="D50" s="628"/>
      <c r="E50" s="628"/>
      <c r="F50" s="628"/>
      <c r="G50" s="628"/>
      <c r="H50" s="628"/>
      <c r="I50" s="628"/>
      <c r="J50" s="628"/>
      <c r="K50" s="628"/>
      <c r="L50" s="628"/>
      <c r="M50" s="628"/>
      <c r="N50" s="628"/>
      <c r="O50" s="628"/>
    </row>
    <row r="51" spans="1:16" s="697" customFormat="1" ht="18">
      <c r="B51" s="2"/>
      <c r="D51" s="150"/>
      <c r="E51" s="698"/>
      <c r="F51" s="698"/>
      <c r="G51" s="1038" t="s">
        <v>774</v>
      </c>
      <c r="H51" s="1039"/>
      <c r="I51" s="1038" t="s">
        <v>775</v>
      </c>
      <c r="J51" s="1040"/>
      <c r="K51" s="1039"/>
      <c r="L51" s="1038" t="s">
        <v>776</v>
      </c>
      <c r="M51" s="1040"/>
      <c r="N51" s="1039"/>
    </row>
    <row r="52" spans="1:16" s="697" customFormat="1" ht="32.25" customHeight="1">
      <c r="A52" s="172" t="s">
        <v>58</v>
      </c>
      <c r="B52" s="655" t="s">
        <v>2065</v>
      </c>
      <c r="C52" s="168" t="s">
        <v>54</v>
      </c>
      <c r="D52" s="480" t="s">
        <v>2244</v>
      </c>
      <c r="E52" s="1027" t="s">
        <v>696</v>
      </c>
      <c r="F52" s="1028"/>
      <c r="G52" s="49" t="s">
        <v>777</v>
      </c>
      <c r="H52" s="873" t="s">
        <v>778</v>
      </c>
      <c r="I52" s="49" t="s">
        <v>777</v>
      </c>
      <c r="J52" s="873" t="s">
        <v>778</v>
      </c>
      <c r="K52" s="873" t="s">
        <v>780</v>
      </c>
      <c r="L52" s="49" t="s">
        <v>777</v>
      </c>
      <c r="M52" s="794" t="s">
        <v>778</v>
      </c>
      <c r="N52" s="873" t="s">
        <v>780</v>
      </c>
      <c r="O52" s="172" t="s">
        <v>779</v>
      </c>
    </row>
    <row r="53" spans="1:16" s="697" customFormat="1">
      <c r="A53" s="630" t="s">
        <v>2170</v>
      </c>
      <c r="B53" s="631" t="s">
        <v>2171</v>
      </c>
      <c r="C53" s="632" t="s">
        <v>2077</v>
      </c>
      <c r="D53" s="490">
        <f>'Solid Waste Calculations'!G$13</f>
        <v>16836.029865925011</v>
      </c>
      <c r="E53" s="1029"/>
      <c r="F53" s="1030"/>
      <c r="G53" s="497"/>
      <c r="H53" s="498">
        <f>G53*E53</f>
        <v>0</v>
      </c>
      <c r="I53" s="874"/>
      <c r="J53" s="875">
        <f>(1-0.75)*(1-0.1)*D53*0.06</f>
        <v>227.28640318998765</v>
      </c>
      <c r="K53" s="271">
        <f>J53*24</f>
        <v>5454.8736765597041</v>
      </c>
      <c r="L53" s="874"/>
      <c r="M53" s="875"/>
      <c r="N53" s="271"/>
      <c r="O53" s="183">
        <f>SUM(H53,K53,N53)</f>
        <v>5454.8736765597041</v>
      </c>
    </row>
    <row r="54" spans="1:16" s="697" customFormat="1">
      <c r="A54" s="165" t="s">
        <v>2074</v>
      </c>
      <c r="B54" s="152" t="s">
        <v>2245</v>
      </c>
      <c r="C54" s="156" t="s">
        <v>2077</v>
      </c>
      <c r="D54" s="490">
        <f>'Solid Waste Calculations'!G$13</f>
        <v>16836.029865925011</v>
      </c>
      <c r="E54" s="1031"/>
      <c r="F54" s="1032"/>
      <c r="G54" s="492"/>
      <c r="H54" s="178">
        <f>D54*0.0164*1000</f>
        <v>276110.88980117021</v>
      </c>
      <c r="I54" s="876"/>
      <c r="J54" s="155"/>
      <c r="K54" s="161"/>
      <c r="L54" s="876"/>
      <c r="M54" s="155"/>
      <c r="N54" s="161"/>
      <c r="O54" s="183">
        <f t="shared" ref="O54:O55" si="34">SUM(H54,K54,N54)</f>
        <v>276110.88980117021</v>
      </c>
    </row>
    <row r="55" spans="1:16" s="697" customFormat="1">
      <c r="A55" s="166" t="s">
        <v>2069</v>
      </c>
      <c r="B55" s="157" t="s">
        <v>2246</v>
      </c>
      <c r="C55" s="160" t="s">
        <v>2077</v>
      </c>
      <c r="D55" s="490">
        <f>'Solid Waste Calculations'!G$13</f>
        <v>16836.029865925011</v>
      </c>
      <c r="E55" s="1033"/>
      <c r="F55" s="1034"/>
      <c r="G55" s="493"/>
      <c r="H55" s="179">
        <f>D55*4*0.00014*1000</f>
        <v>9428.1767249180048</v>
      </c>
      <c r="I55" s="877"/>
      <c r="J55" s="159"/>
      <c r="K55" s="162"/>
      <c r="L55" s="877"/>
      <c r="M55" s="159"/>
      <c r="N55" s="162"/>
      <c r="O55" s="183">
        <f t="shared" si="34"/>
        <v>9428.1767249180048</v>
      </c>
    </row>
    <row r="56" spans="1:16" s="697" customFormat="1">
      <c r="C56" s="629" t="s">
        <v>863</v>
      </c>
      <c r="D56" s="479"/>
      <c r="E56" s="1025">
        <f>SUM(E53:E55)</f>
        <v>0</v>
      </c>
      <c r="F56" s="1026"/>
      <c r="G56" s="653"/>
      <c r="H56" s="654">
        <f>SUM(H53:H55)</f>
        <v>285539.06652608822</v>
      </c>
      <c r="I56" s="653"/>
      <c r="J56" s="281">
        <f>SUM(J53:J55)</f>
        <v>227.28640318998765</v>
      </c>
      <c r="K56" s="654">
        <f>SUM(K53:K55)</f>
        <v>5454.8736765597041</v>
      </c>
      <c r="L56" s="653"/>
      <c r="M56" s="281"/>
      <c r="N56" s="654"/>
      <c r="O56" s="654">
        <f>SUM(O53:O55)</f>
        <v>290993.94020264794</v>
      </c>
    </row>
    <row r="57" spans="1:16" s="697" customFormat="1" ht="15.75" thickBot="1">
      <c r="C57" s="627"/>
      <c r="D57" s="628"/>
      <c r="E57" s="628"/>
      <c r="F57" s="628"/>
      <c r="G57" s="628"/>
      <c r="H57" s="628"/>
      <c r="I57" s="628"/>
      <c r="J57" s="628"/>
      <c r="K57" s="628"/>
      <c r="L57" s="628"/>
      <c r="M57" s="628"/>
      <c r="N57" s="628"/>
      <c r="O57" s="628"/>
    </row>
    <row r="58" spans="1:16" ht="15.75" thickBot="1">
      <c r="C58" s="276"/>
      <c r="E58" s="150"/>
      <c r="F58" s="247"/>
      <c r="G58" s="277" t="s">
        <v>864</v>
      </c>
      <c r="H58" s="278">
        <f>SUM(H41,H29,H17,H10)</f>
        <v>384073346.38635224</v>
      </c>
      <c r="I58" s="279"/>
      <c r="J58" s="278">
        <f>SUM(J41,J29,J17,J10)</f>
        <v>11454.727866294603</v>
      </c>
      <c r="K58" s="278">
        <f>SUM(K41,K29,K17,K10)</f>
        <v>274913.46879107045</v>
      </c>
      <c r="L58" s="279"/>
      <c r="M58" s="278">
        <f>SUM(M41,M29,M17,M10)</f>
        <v>9345.4940101221291</v>
      </c>
      <c r="N58" s="278">
        <f>SUM(N41,N29,N17,N10)</f>
        <v>2897103.1431378606</v>
      </c>
      <c r="O58" s="280">
        <f>SUM(O41,O29,O17,O10)</f>
        <v>387245362.99828124</v>
      </c>
    </row>
    <row r="59" spans="1:16">
      <c r="E59" s="150"/>
      <c r="F59" s="150"/>
      <c r="G59" s="55"/>
      <c r="P59" t="s">
        <v>865</v>
      </c>
    </row>
    <row r="60" spans="1:16" ht="30">
      <c r="A60" s="878" t="s">
        <v>868</v>
      </c>
      <c r="B60" s="1015" t="s">
        <v>970</v>
      </c>
      <c r="C60" s="985" t="s">
        <v>2530</v>
      </c>
    </row>
    <row r="61" spans="1:16">
      <c r="A61" s="56" t="s">
        <v>55</v>
      </c>
      <c r="B61" s="1016">
        <f>SUM(E6,E14:F16,E21,E25)</f>
        <v>867273.39175524737</v>
      </c>
      <c r="C61" s="273">
        <f>SUM(O6,O14,O15,O16,O21,O25)</f>
        <v>136863945.18533784</v>
      </c>
      <c r="F61" s="698">
        <f>O33/F33</f>
        <v>9.0069165466341694</v>
      </c>
    </row>
    <row r="62" spans="1:16">
      <c r="A62" s="879" t="s">
        <v>56</v>
      </c>
      <c r="B62" s="1017">
        <f>SUM(E7,E22,E26)</f>
        <v>575502.04264550819</v>
      </c>
      <c r="C62" s="274">
        <f>SUM(O22,O26,O7)</f>
        <v>94281834.761083379</v>
      </c>
    </row>
    <row r="63" spans="1:16">
      <c r="A63" s="879" t="s">
        <v>57</v>
      </c>
      <c r="B63" s="1017">
        <f>SUM(E8,E23,E27)</f>
        <v>510205.1467330475</v>
      </c>
      <c r="C63" s="274">
        <f>SUM(O8,O23,O27)</f>
        <v>64500573.057533503</v>
      </c>
    </row>
    <row r="64" spans="1:16">
      <c r="A64" s="879" t="s">
        <v>2267</v>
      </c>
      <c r="B64" s="1017">
        <f>SUM(E9,E24,E28)</f>
        <v>104556.9616782512</v>
      </c>
      <c r="C64" s="274">
        <f>SUM(O9,O24,O28)</f>
        <v>14679948.610252166</v>
      </c>
    </row>
    <row r="65" spans="1:3">
      <c r="A65" s="879" t="s">
        <v>782</v>
      </c>
      <c r="B65" s="1017">
        <f>SUM(E33:E40)</f>
        <v>1024227.4518535171</v>
      </c>
      <c r="C65" s="274">
        <f>SUM(O33:O40)</f>
        <v>76919061.384074286</v>
      </c>
    </row>
    <row r="66" spans="1:3">
      <c r="A66" s="880" t="s">
        <v>2248</v>
      </c>
      <c r="B66" s="1018">
        <f>SUM(E48)</f>
        <v>7559.794082582107</v>
      </c>
      <c r="C66" s="274">
        <f>O49</f>
        <v>10186155.057457197</v>
      </c>
    </row>
    <row r="67" spans="1:3">
      <c r="A67" s="881" t="s">
        <v>2077</v>
      </c>
      <c r="B67" s="881"/>
      <c r="C67" s="275">
        <f>O56</f>
        <v>290993.94020264794</v>
      </c>
    </row>
    <row r="68" spans="1:3">
      <c r="A68" s="697"/>
      <c r="B68" s="697"/>
      <c r="C68" s="697"/>
    </row>
    <row r="69" spans="1:3" ht="30">
      <c r="A69" s="1021" t="s">
        <v>2101</v>
      </c>
      <c r="B69" s="942" t="s">
        <v>970</v>
      </c>
      <c r="C69" s="986" t="s">
        <v>2530</v>
      </c>
    </row>
    <row r="70" spans="1:3">
      <c r="A70" s="1019" t="s">
        <v>2</v>
      </c>
      <c r="B70" s="274">
        <f>SUM(E6:F9)</f>
        <v>832717.81887560303</v>
      </c>
      <c r="C70" s="1022">
        <f>SUM(O6:O9)</f>
        <v>44150943.867367782</v>
      </c>
    </row>
    <row r="71" spans="1:3">
      <c r="A71" s="1019" t="s">
        <v>2531</v>
      </c>
      <c r="B71" s="274">
        <f>SUM(E14:F16)</f>
        <v>37754</v>
      </c>
      <c r="C71" s="1022">
        <f>SUM(O14:O16)</f>
        <v>2845210.2640869566</v>
      </c>
    </row>
    <row r="72" spans="1:3">
      <c r="A72" s="1019" t="s">
        <v>588</v>
      </c>
      <c r="B72" s="274">
        <f>SUM(E21:F28,E48)</f>
        <v>1194625.5180190334</v>
      </c>
      <c r="C72" s="1022">
        <f>SUM(O21:O28,O48)</f>
        <v>264939764.75070864</v>
      </c>
    </row>
    <row r="73" spans="1:3">
      <c r="A73" s="1020" t="s">
        <v>2532</v>
      </c>
      <c r="B73" s="275">
        <f>SUM(E33:E40)</f>
        <v>1024227.4518535171</v>
      </c>
      <c r="C73" s="890">
        <f>SUM(O33:O40)</f>
        <v>76919061.384074286</v>
      </c>
    </row>
  </sheetData>
  <mergeCells count="52">
    <mergeCell ref="E55:F55"/>
    <mergeCell ref="E56:F56"/>
    <mergeCell ref="I51:K51"/>
    <mergeCell ref="L51:N51"/>
    <mergeCell ref="E52:F52"/>
    <mergeCell ref="E53:F53"/>
    <mergeCell ref="E54:F54"/>
    <mergeCell ref="E46:F46"/>
    <mergeCell ref="E47:F47"/>
    <mergeCell ref="E48:F48"/>
    <mergeCell ref="E49:F49"/>
    <mergeCell ref="G51:H51"/>
    <mergeCell ref="G43:H43"/>
    <mergeCell ref="I43:K43"/>
    <mergeCell ref="L43:N43"/>
    <mergeCell ref="E44:F44"/>
    <mergeCell ref="E45:F45"/>
    <mergeCell ref="E25:F25"/>
    <mergeCell ref="E26:F26"/>
    <mergeCell ref="E27:F27"/>
    <mergeCell ref="E28:F28"/>
    <mergeCell ref="E29:F29"/>
    <mergeCell ref="E20:F20"/>
    <mergeCell ref="E21:F21"/>
    <mergeCell ref="E22:F22"/>
    <mergeCell ref="E23:F23"/>
    <mergeCell ref="E24:F24"/>
    <mergeCell ref="E16:F16"/>
    <mergeCell ref="E17:F17"/>
    <mergeCell ref="E13:F13"/>
    <mergeCell ref="E18:F18"/>
    <mergeCell ref="E19:F19"/>
    <mergeCell ref="E8:F8"/>
    <mergeCell ref="E9:F9"/>
    <mergeCell ref="E10:F10"/>
    <mergeCell ref="E14:F14"/>
    <mergeCell ref="E15:F15"/>
    <mergeCell ref="E5:F5"/>
    <mergeCell ref="E6:F6"/>
    <mergeCell ref="E7:F7"/>
    <mergeCell ref="G4:H4"/>
    <mergeCell ref="I4:K4"/>
    <mergeCell ref="G31:H31"/>
    <mergeCell ref="I31:K31"/>
    <mergeCell ref="L31:N31"/>
    <mergeCell ref="L4:N4"/>
    <mergeCell ref="G12:H12"/>
    <mergeCell ref="I12:K12"/>
    <mergeCell ref="L12:N12"/>
    <mergeCell ref="G19:H19"/>
    <mergeCell ref="I19:K19"/>
    <mergeCell ref="L19:N19"/>
  </mergeCells>
  <hyperlinks>
    <hyperlink ref="E5" location="'Natural Gas Energy Content'!A1" tooltip="Natural Gas Energy Content" display="Energy Quantity (MMBtu)"/>
    <hyperlink ref="G5" location="'Default Emissions Factors'!A1" tooltip="Default Emissions Factors" display="CO2 Emission Coefficient"/>
    <hyperlink ref="E13" location="'BE.1.2 Calculations'!A1" tooltip="BE.1.2 Calculations" display="Energy Quantity (MMBtu)"/>
    <hyperlink ref="D20" location="'2010 - 2012 APCO Billed kWh''s'!A1" tooltip="2010 - 2012 APCO Billed kWh's" display="Quantity (kWh)"/>
    <hyperlink ref="I5" location="'Default Emissions Factors'!A1" tooltip="Default Emissions Factors" display="Coefficient (kg/MMBtu)"/>
    <hyperlink ref="L5" location="'Default Emissions Factors'!A1" tooltip="Default Emissions Factors" display="CO2 Emission Coefficient"/>
    <hyperlink ref="G13" location="'Default Emissions Factors'!A1" tooltip="Default Emissions Factors" display="CO2 Emission Coefficient"/>
    <hyperlink ref="I13" location="'Default Emissions Factors'!A1" tooltip="Default Emissions Factors" display="CO2 Emission Coefficient"/>
    <hyperlink ref="G20" location="'APCO Emission Factors'!A1" tooltip="APCO Emission Factors" display="Coefficient (kg/MMBtu)"/>
    <hyperlink ref="I20" location="'Default Emissions Factors'!A1" tooltip="Default Emissions Factors" display="Coefficient (kg/MMBtu)"/>
    <hyperlink ref="L13" location="'Default Emissions Factors'!A1" tooltip="Default Emissions Factors" display="CO2 Emission Coefficient"/>
    <hyperlink ref="L20" location="'Default Emissions Factors'!A1" tooltip="Default Emissions Factors" display="CO2 Emission Coefficient"/>
    <hyperlink ref="K5" location="'Global Warming Potentials'!A1" tooltip="Global Warming Potentials" display="CO2 Equivalent (kg)"/>
    <hyperlink ref="K13" location="'Global Warming Potentials'!A1" tooltip="Global Warming Potentials" display="CO2 Equivalent (kg)"/>
    <hyperlink ref="K20" location="'Global Warming Potentials'!A1" tooltip="Global Warming Potentials" display="CO2 Equivalent (kg)"/>
    <hyperlink ref="N20" location="'Global Warming Potentials'!A1" tooltip="Global Warming Potentials" display="CO2 Equivalent (kg)"/>
    <hyperlink ref="N13" location="'Global Warming Potentials'!A1" tooltip="Global Warming Potentials" display="CO2 Equivalent (kg)"/>
    <hyperlink ref="N5" location="'Global Warming Potentials'!A1" tooltip="Global Warming Potentials" display="CO2 Equivalent (kg)"/>
    <hyperlink ref="D32" location="'VDOT VMT Totals'!A1" tooltip="VDOT VMT Totals" display="Quantity (VMT)"/>
    <hyperlink ref="G32" location="'Vehicle Emission Factors'!A1" tooltip="Vehicle Emission Factors" display="Coefficient (kg/gallon)"/>
    <hyperlink ref="I32" location="'Vehicle Emission Factors'!A1" tooltip="Vehicle Emission Factors" display="Coefficient (kg/VMT)"/>
    <hyperlink ref="L32" location="'Vehicle Emission Factors'!A1" tooltip="Vehicle Emission Factors" display="Coefficient (kg/MMBtu)"/>
    <hyperlink ref="K32" location="'Global Warming Potentials'!A1" tooltip="Global Warming Potentials" display="CO2 Equivalent (kg)"/>
    <hyperlink ref="N32" location="'Global Warming Potentials'!A1" tooltip="Global Warming Potentials" display="CO2 Equivalent (kg)"/>
    <hyperlink ref="F32" location="'Vehicle Fuel Efficiency'!A1" tooltip="Vehicle Fuel Efficiency" display="Energy Quantity (Gallons)"/>
    <hyperlink ref="E32" location="'Transportation Fuel Information'!A1" tooltip="Transportation Fuel Information" display="Energy Quantity (MMBtu)"/>
    <hyperlink ref="D5" location="'ATMOS NG Calculations'!A1" tooltip="ATMOS NG Calculations" display="Quantity (Mcf)"/>
    <hyperlink ref="G44" location="'APCO Emission Factors'!A1" tooltip="APCO Emission Factors" display="Coefficient (kg/MMBtu)"/>
    <hyperlink ref="L44" location="'Default Emissions Factors'!A1" tooltip="Default Emissions Factors" display="CO2 Emission Coefficient"/>
    <hyperlink ref="D44" location="'Wastewater Data'!A1" tooltip="Wastewater Data" display="Quantity (Gal)"/>
    <hyperlink ref="N44" location="'Global Warming Potentials'!A1" tooltip="Global Warming Potentials" display="CO2 Equivalent (kg)"/>
    <hyperlink ref="K44" location="'Global Warming Potentials'!A1" tooltip="Global Warming Potentials" display="CO2 Equivalent (kg)"/>
    <hyperlink ref="I44" location="'Default Emissions Factors'!A1" tooltip="Default Emissions Factors" display="Coefficient (kg/MMBtu)"/>
    <hyperlink ref="D52" location="'Solid Waste Calculations'!A1" tooltip="Solid Waste Calculations" display="Quantity (Gal)"/>
    <hyperlink ref="N52" location="'Global Warming Potentials'!A1" tooltip="Global Warming Potentials" display="CO2 Equivalent (kg)"/>
    <hyperlink ref="K52" location="'Global Warming Potentials'!A1" tooltip="Global Warming Potentials" display="CO2 Equivalent (kg)"/>
    <hyperlink ref="H52" location="'Solid Waste Coefficients'!A1" tooltip="Solid Waste Coefficients" display="Quantity (kg)"/>
    <hyperlink ref="J52" location="'Solid Waste Coefficients'!A1" tooltip="Solid Waste Coefficients" display="Quantity (kg)"/>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dimension ref="A1:BT50"/>
  <sheetViews>
    <sheetView zoomScale="60" zoomScaleNormal="60" workbookViewId="0">
      <selection activeCell="F1" sqref="F1"/>
    </sheetView>
  </sheetViews>
  <sheetFormatPr defaultRowHeight="15"/>
  <cols>
    <col min="1" max="1" width="15.42578125" bestFit="1" customWidth="1"/>
    <col min="2" max="2" width="23.28515625" bestFit="1" customWidth="1"/>
    <col min="3" max="3" width="13.5703125" customWidth="1"/>
    <col min="4" max="6" width="14.140625" bestFit="1" customWidth="1"/>
    <col min="11" max="11" width="10.140625" bestFit="1" customWidth="1"/>
    <col min="17" max="17" width="10.140625" bestFit="1" customWidth="1"/>
    <col min="23" max="23" width="9.85546875" bestFit="1" customWidth="1"/>
    <col min="29" max="29" width="10.140625" bestFit="1" customWidth="1"/>
    <col min="35" max="35" width="10.140625" bestFit="1" customWidth="1"/>
    <col min="41" max="41" width="9.85546875" bestFit="1" customWidth="1"/>
    <col min="47" max="47" width="9.85546875" bestFit="1" customWidth="1"/>
    <col min="53" max="53" width="9.85546875" bestFit="1" customWidth="1"/>
    <col min="59" max="59" width="9.85546875" bestFit="1" customWidth="1"/>
    <col min="65" max="65" width="9.85546875" bestFit="1" customWidth="1"/>
    <col min="71" max="71" width="9.85546875" bestFit="1" customWidth="1"/>
  </cols>
  <sheetData>
    <row r="1" spans="1:72">
      <c r="A1" s="900" t="s">
        <v>2263</v>
      </c>
      <c r="B1" s="901"/>
      <c r="C1" s="902"/>
      <c r="D1" s="902"/>
      <c r="E1" s="12"/>
      <c r="F1" s="12"/>
      <c r="G1" s="12"/>
    </row>
    <row r="3" spans="1:72" s="1" customFormat="1">
      <c r="A3" s="1" t="s">
        <v>11</v>
      </c>
      <c r="G3" s="1" t="s">
        <v>12</v>
      </c>
      <c r="M3" s="1" t="s">
        <v>13</v>
      </c>
      <c r="S3" s="1" t="s">
        <v>14</v>
      </c>
      <c r="Y3" s="1" t="s">
        <v>15</v>
      </c>
      <c r="AE3" s="1" t="s">
        <v>16</v>
      </c>
      <c r="AK3" s="1" t="s">
        <v>17</v>
      </c>
      <c r="AQ3" s="1" t="s">
        <v>18</v>
      </c>
      <c r="AW3" s="1" t="s">
        <v>19</v>
      </c>
      <c r="BC3" s="1" t="s">
        <v>20</v>
      </c>
      <c r="BI3" s="1" t="s">
        <v>21</v>
      </c>
      <c r="BO3" s="1" t="s">
        <v>22</v>
      </c>
    </row>
    <row r="4" spans="1:72">
      <c r="A4" s="355" t="s">
        <v>718</v>
      </c>
      <c r="B4" s="91"/>
      <c r="C4" s="91"/>
      <c r="D4" s="356" t="s">
        <v>719</v>
      </c>
      <c r="E4" s="356" t="s">
        <v>720</v>
      </c>
      <c r="F4" s="356" t="s">
        <v>721</v>
      </c>
      <c r="G4" s="355" t="s">
        <v>718</v>
      </c>
      <c r="H4" s="91"/>
      <c r="I4" s="91"/>
      <c r="J4" s="356" t="s">
        <v>719</v>
      </c>
      <c r="K4" s="356" t="s">
        <v>720</v>
      </c>
      <c r="L4" s="356" t="s">
        <v>721</v>
      </c>
      <c r="M4" s="355" t="s">
        <v>718</v>
      </c>
      <c r="N4" s="91"/>
      <c r="O4" s="91"/>
      <c r="P4" s="356" t="s">
        <v>719</v>
      </c>
      <c r="Q4" s="356" t="s">
        <v>720</v>
      </c>
      <c r="R4" s="356" t="s">
        <v>721</v>
      </c>
      <c r="S4" s="355" t="s">
        <v>718</v>
      </c>
      <c r="T4" s="91"/>
      <c r="U4" s="91"/>
      <c r="V4" s="356" t="s">
        <v>719</v>
      </c>
      <c r="W4" s="356" t="s">
        <v>720</v>
      </c>
      <c r="X4" s="356" t="s">
        <v>721</v>
      </c>
      <c r="Y4" s="355" t="s">
        <v>718</v>
      </c>
      <c r="Z4" s="91"/>
      <c r="AA4" s="91"/>
      <c r="AB4" s="356" t="s">
        <v>719</v>
      </c>
      <c r="AC4" s="356" t="s">
        <v>720</v>
      </c>
      <c r="AD4" s="356" t="s">
        <v>721</v>
      </c>
      <c r="AE4" s="355" t="s">
        <v>718</v>
      </c>
      <c r="AF4" s="91"/>
      <c r="AG4" s="91"/>
      <c r="AH4" s="356" t="s">
        <v>719</v>
      </c>
      <c r="AI4" s="356" t="s">
        <v>720</v>
      </c>
      <c r="AJ4" s="356" t="s">
        <v>721</v>
      </c>
      <c r="AK4" s="363" t="s">
        <v>718</v>
      </c>
      <c r="AL4" s="347"/>
      <c r="AM4" s="347"/>
      <c r="AN4" s="364" t="s">
        <v>719</v>
      </c>
      <c r="AO4" s="364" t="s">
        <v>720</v>
      </c>
      <c r="AP4" s="364" t="s">
        <v>721</v>
      </c>
      <c r="AQ4" s="363" t="s">
        <v>718</v>
      </c>
      <c r="AR4" s="347"/>
      <c r="AS4" s="347"/>
      <c r="AT4" s="364" t="s">
        <v>719</v>
      </c>
      <c r="AU4" s="364" t="s">
        <v>720</v>
      </c>
      <c r="AV4" s="364" t="s">
        <v>721</v>
      </c>
      <c r="AW4" s="363" t="s">
        <v>718</v>
      </c>
      <c r="AX4" s="347"/>
      <c r="AY4" s="347"/>
      <c r="AZ4" s="364" t="s">
        <v>719</v>
      </c>
      <c r="BA4" s="364" t="s">
        <v>720</v>
      </c>
      <c r="BB4" s="364" t="s">
        <v>721</v>
      </c>
      <c r="BC4" s="363" t="s">
        <v>718</v>
      </c>
      <c r="BD4" s="347"/>
      <c r="BE4" s="347"/>
      <c r="BF4" s="364" t="s">
        <v>719</v>
      </c>
      <c r="BG4" s="364" t="s">
        <v>720</v>
      </c>
      <c r="BH4" s="364" t="s">
        <v>721</v>
      </c>
      <c r="BI4" s="363" t="s">
        <v>718</v>
      </c>
      <c r="BJ4" s="347"/>
      <c r="BK4" s="347"/>
      <c r="BL4" s="364" t="s">
        <v>719</v>
      </c>
      <c r="BM4" s="364" t="s">
        <v>720</v>
      </c>
      <c r="BN4" s="364" t="s">
        <v>721</v>
      </c>
      <c r="BO4" s="363" t="s">
        <v>718</v>
      </c>
      <c r="BP4" s="347"/>
      <c r="BQ4" s="347"/>
      <c r="BR4" s="364" t="s">
        <v>719</v>
      </c>
      <c r="BS4" s="364" t="s">
        <v>720</v>
      </c>
      <c r="BT4" s="364" t="s">
        <v>721</v>
      </c>
    </row>
    <row r="5" spans="1:72">
      <c r="A5" s="357" t="s">
        <v>722</v>
      </c>
      <c r="B5" s="357" t="s">
        <v>723</v>
      </c>
      <c r="C5" s="91"/>
      <c r="D5" s="358">
        <v>7</v>
      </c>
      <c r="E5" s="358">
        <v>97940</v>
      </c>
      <c r="F5" s="359">
        <v>179.12</v>
      </c>
      <c r="G5" s="357" t="s">
        <v>722</v>
      </c>
      <c r="H5" s="357" t="s">
        <v>723</v>
      </c>
      <c r="I5" s="91"/>
      <c r="J5" s="358">
        <v>7</v>
      </c>
      <c r="K5" s="358">
        <v>117773</v>
      </c>
      <c r="L5" s="359">
        <v>200.72</v>
      </c>
      <c r="M5" s="357" t="s">
        <v>722</v>
      </c>
      <c r="N5" s="357" t="s">
        <v>723</v>
      </c>
      <c r="O5" s="91"/>
      <c r="P5" s="358">
        <v>7</v>
      </c>
      <c r="Q5" s="358">
        <v>110176</v>
      </c>
      <c r="R5" s="359">
        <v>195.12</v>
      </c>
      <c r="S5" s="357" t="s">
        <v>722</v>
      </c>
      <c r="T5" s="357" t="s">
        <v>723</v>
      </c>
      <c r="U5" s="91"/>
      <c r="V5" s="358">
        <v>7</v>
      </c>
      <c r="W5" s="358">
        <v>121747</v>
      </c>
      <c r="X5" s="359">
        <v>199.04</v>
      </c>
      <c r="Y5" s="357" t="s">
        <v>722</v>
      </c>
      <c r="Z5" s="357" t="s">
        <v>723</v>
      </c>
      <c r="AA5" s="91"/>
      <c r="AB5" s="358">
        <v>7</v>
      </c>
      <c r="AC5" s="358">
        <v>118500</v>
      </c>
      <c r="AD5" s="359">
        <v>216.72</v>
      </c>
      <c r="AE5" s="357" t="s">
        <v>722</v>
      </c>
      <c r="AF5" s="357" t="s">
        <v>723</v>
      </c>
      <c r="AG5" s="91"/>
      <c r="AH5" s="358">
        <v>7</v>
      </c>
      <c r="AI5" s="358">
        <v>145901</v>
      </c>
      <c r="AJ5" s="359">
        <v>226.88</v>
      </c>
      <c r="AK5" s="365" t="s">
        <v>722</v>
      </c>
      <c r="AL5" s="365" t="s">
        <v>723</v>
      </c>
      <c r="AM5" s="347"/>
      <c r="AN5" s="366">
        <v>7</v>
      </c>
      <c r="AO5" s="366">
        <v>115786</v>
      </c>
      <c r="AP5" s="367">
        <v>227.92</v>
      </c>
      <c r="AQ5" s="365" t="s">
        <v>722</v>
      </c>
      <c r="AR5" s="365" t="s">
        <v>723</v>
      </c>
      <c r="AS5" s="347"/>
      <c r="AT5" s="366">
        <v>7</v>
      </c>
      <c r="AU5" s="366">
        <v>118576</v>
      </c>
      <c r="AV5" s="367">
        <v>218.96</v>
      </c>
      <c r="AW5" s="365" t="s">
        <v>722</v>
      </c>
      <c r="AX5" s="365" t="s">
        <v>723</v>
      </c>
      <c r="AY5" s="347"/>
      <c r="AZ5" s="366">
        <v>7</v>
      </c>
      <c r="BA5" s="366">
        <v>141702</v>
      </c>
      <c r="BB5" s="367">
        <v>220.8</v>
      </c>
      <c r="BC5" s="365" t="s">
        <v>722</v>
      </c>
      <c r="BD5" s="365" t="s">
        <v>723</v>
      </c>
      <c r="BE5" s="347"/>
      <c r="BF5" s="366">
        <v>7</v>
      </c>
      <c r="BG5" s="366">
        <v>123873</v>
      </c>
      <c r="BH5" s="367">
        <v>208.08</v>
      </c>
      <c r="BI5" s="365" t="s">
        <v>722</v>
      </c>
      <c r="BJ5" s="365" t="s">
        <v>723</v>
      </c>
      <c r="BK5" s="347"/>
      <c r="BL5" s="366">
        <v>7</v>
      </c>
      <c r="BM5" s="366">
        <v>117071</v>
      </c>
      <c r="BN5" s="367">
        <v>209.44</v>
      </c>
      <c r="BO5" s="365" t="s">
        <v>722</v>
      </c>
      <c r="BP5" s="365" t="s">
        <v>723</v>
      </c>
      <c r="BQ5" s="347"/>
      <c r="BR5" s="366">
        <v>7</v>
      </c>
      <c r="BS5" s="366">
        <v>128354</v>
      </c>
      <c r="BT5" s="367">
        <v>207.6</v>
      </c>
    </row>
    <row r="6" spans="1:72">
      <c r="A6" s="357" t="s">
        <v>724</v>
      </c>
      <c r="B6" s="357" t="s">
        <v>725</v>
      </c>
      <c r="C6" s="91"/>
      <c r="D6" s="358">
        <v>6</v>
      </c>
      <c r="E6" s="358">
        <v>503176</v>
      </c>
      <c r="F6" s="359">
        <v>1690.4</v>
      </c>
      <c r="G6" s="357" t="s">
        <v>724</v>
      </c>
      <c r="H6" s="357" t="s">
        <v>725</v>
      </c>
      <c r="I6" s="91"/>
      <c r="J6" s="358">
        <v>6</v>
      </c>
      <c r="K6" s="358">
        <v>667240</v>
      </c>
      <c r="L6" s="359">
        <v>1735.6</v>
      </c>
      <c r="M6" s="357" t="s">
        <v>724</v>
      </c>
      <c r="N6" s="357" t="s">
        <v>725</v>
      </c>
      <c r="O6" s="91"/>
      <c r="P6" s="358">
        <v>6</v>
      </c>
      <c r="Q6" s="358">
        <v>636240</v>
      </c>
      <c r="R6" s="359">
        <v>1813.6</v>
      </c>
      <c r="S6" s="357" t="s">
        <v>724</v>
      </c>
      <c r="T6" s="357" t="s">
        <v>725</v>
      </c>
      <c r="U6" s="91"/>
      <c r="V6" s="358">
        <v>6</v>
      </c>
      <c r="W6" s="358">
        <v>799984</v>
      </c>
      <c r="X6" s="359">
        <v>1566.88</v>
      </c>
      <c r="Y6" s="357" t="s">
        <v>724</v>
      </c>
      <c r="Z6" s="357" t="s">
        <v>725</v>
      </c>
      <c r="AA6" s="91"/>
      <c r="AB6" s="358">
        <v>6</v>
      </c>
      <c r="AC6" s="358">
        <v>830616</v>
      </c>
      <c r="AD6" s="359">
        <v>2038.48</v>
      </c>
      <c r="AE6" s="357" t="s">
        <v>724</v>
      </c>
      <c r="AF6" s="357" t="s">
        <v>725</v>
      </c>
      <c r="AG6" s="91"/>
      <c r="AH6" s="358">
        <v>6</v>
      </c>
      <c r="AI6" s="358">
        <v>954360</v>
      </c>
      <c r="AJ6" s="359">
        <v>1619.68</v>
      </c>
      <c r="AK6" s="365" t="s">
        <v>724</v>
      </c>
      <c r="AL6" s="365" t="s">
        <v>725</v>
      </c>
      <c r="AM6" s="347"/>
      <c r="AN6" s="366">
        <v>6</v>
      </c>
      <c r="AO6" s="366">
        <v>768376</v>
      </c>
      <c r="AP6" s="367">
        <v>1573.28</v>
      </c>
      <c r="AQ6" s="365" t="s">
        <v>724</v>
      </c>
      <c r="AR6" s="365" t="s">
        <v>725</v>
      </c>
      <c r="AS6" s="347"/>
      <c r="AT6" s="366">
        <v>6</v>
      </c>
      <c r="AU6" s="366">
        <v>827128</v>
      </c>
      <c r="AV6" s="367">
        <v>1762.48</v>
      </c>
      <c r="AW6" s="365" t="s">
        <v>724</v>
      </c>
      <c r="AX6" s="365" t="s">
        <v>725</v>
      </c>
      <c r="AY6" s="347"/>
      <c r="AZ6" s="366">
        <v>6</v>
      </c>
      <c r="BA6" s="366">
        <v>1124024</v>
      </c>
      <c r="BB6" s="367">
        <v>2064.48</v>
      </c>
      <c r="BC6" s="365" t="s">
        <v>724</v>
      </c>
      <c r="BD6" s="365" t="s">
        <v>725</v>
      </c>
      <c r="BE6" s="347"/>
      <c r="BF6" s="366">
        <v>6</v>
      </c>
      <c r="BG6" s="366">
        <v>953872</v>
      </c>
      <c r="BH6" s="367">
        <v>2021.28</v>
      </c>
      <c r="BI6" s="365" t="s">
        <v>724</v>
      </c>
      <c r="BJ6" s="365" t="s">
        <v>725</v>
      </c>
      <c r="BK6" s="347"/>
      <c r="BL6" s="366">
        <v>6</v>
      </c>
      <c r="BM6" s="366">
        <v>800024</v>
      </c>
      <c r="BN6" s="367">
        <v>1880</v>
      </c>
      <c r="BO6" s="365" t="s">
        <v>724</v>
      </c>
      <c r="BP6" s="365" t="s">
        <v>725</v>
      </c>
      <c r="BQ6" s="347"/>
      <c r="BR6" s="366">
        <v>6</v>
      </c>
      <c r="BS6" s="366">
        <v>730432</v>
      </c>
      <c r="BT6" s="367">
        <v>1793.52</v>
      </c>
    </row>
    <row r="7" spans="1:72">
      <c r="A7" s="357"/>
      <c r="B7" s="357"/>
      <c r="C7" s="91"/>
      <c r="D7" s="358"/>
      <c r="E7" s="358"/>
      <c r="F7" s="359"/>
      <c r="G7" s="357"/>
      <c r="H7" s="357"/>
      <c r="I7" s="91"/>
      <c r="J7" s="358"/>
      <c r="K7" s="358"/>
      <c r="L7" s="359"/>
      <c r="M7" s="357"/>
      <c r="N7" s="357"/>
      <c r="O7" s="91"/>
      <c r="P7" s="358"/>
      <c r="Q7" s="358"/>
      <c r="R7" s="359"/>
      <c r="S7" s="357"/>
      <c r="T7" s="357"/>
      <c r="U7" s="91"/>
      <c r="V7" s="358"/>
      <c r="W7" s="358"/>
      <c r="X7" s="359"/>
      <c r="Y7" s="357"/>
      <c r="Z7" s="357"/>
      <c r="AA7" s="91"/>
      <c r="AB7" s="358"/>
      <c r="AC7" s="358"/>
      <c r="AD7" s="359"/>
      <c r="AE7" s="357"/>
      <c r="AF7" s="357"/>
      <c r="AG7" s="91"/>
      <c r="AH7" s="358"/>
      <c r="AI7" s="358"/>
      <c r="AJ7" s="359"/>
      <c r="AK7" s="365"/>
      <c r="AL7" s="365"/>
      <c r="AM7" s="347"/>
      <c r="AN7" s="366"/>
      <c r="AO7" s="366"/>
      <c r="AP7" s="367"/>
      <c r="AQ7" s="365"/>
      <c r="AR7" s="365"/>
      <c r="AS7" s="347"/>
      <c r="AT7" s="366"/>
      <c r="AU7" s="366"/>
      <c r="AV7" s="367"/>
      <c r="AW7" s="365"/>
      <c r="AX7" s="365"/>
      <c r="AY7" s="347"/>
      <c r="AZ7" s="366"/>
      <c r="BA7" s="366"/>
      <c r="BB7" s="367"/>
      <c r="BC7" s="365"/>
      <c r="BD7" s="365"/>
      <c r="BE7" s="347"/>
      <c r="BF7" s="366"/>
      <c r="BG7" s="366"/>
      <c r="BH7" s="367"/>
      <c r="BI7" s="365"/>
      <c r="BJ7" s="365"/>
      <c r="BK7" s="347"/>
      <c r="BL7" s="366"/>
      <c r="BM7" s="366"/>
      <c r="BN7" s="367"/>
      <c r="BO7" s="365"/>
      <c r="BP7" s="365"/>
      <c r="BQ7" s="347"/>
      <c r="BR7" s="366"/>
      <c r="BS7" s="366"/>
      <c r="BT7" s="367"/>
    </row>
    <row r="8" spans="1:72">
      <c r="A8" s="357" t="s">
        <v>728</v>
      </c>
      <c r="B8" s="357" t="s">
        <v>729</v>
      </c>
      <c r="C8" s="91"/>
      <c r="D8" s="358">
        <v>40</v>
      </c>
      <c r="E8" s="358">
        <v>946781</v>
      </c>
      <c r="F8" s="359">
        <v>3173.91</v>
      </c>
      <c r="G8" s="357" t="s">
        <v>728</v>
      </c>
      <c r="H8" s="357" t="s">
        <v>729</v>
      </c>
      <c r="I8" s="91"/>
      <c r="J8" s="358">
        <v>40</v>
      </c>
      <c r="K8" s="358">
        <v>1680124</v>
      </c>
      <c r="L8" s="359">
        <v>3601.81</v>
      </c>
      <c r="M8" s="357" t="s">
        <v>728</v>
      </c>
      <c r="N8" s="357" t="s">
        <v>729</v>
      </c>
      <c r="O8" s="91"/>
      <c r="P8" s="358">
        <v>40</v>
      </c>
      <c r="Q8" s="358">
        <v>1400646</v>
      </c>
      <c r="R8" s="359">
        <v>3538.11</v>
      </c>
      <c r="S8" s="357" t="s">
        <v>728</v>
      </c>
      <c r="T8" s="357" t="s">
        <v>729</v>
      </c>
      <c r="U8" s="91"/>
      <c r="V8" s="358">
        <v>40</v>
      </c>
      <c r="W8" s="358">
        <v>1807126</v>
      </c>
      <c r="X8" s="359">
        <v>3576.06</v>
      </c>
      <c r="Y8" s="357" t="s">
        <v>728</v>
      </c>
      <c r="Z8" s="357" t="s">
        <v>729</v>
      </c>
      <c r="AA8" s="91"/>
      <c r="AB8" s="358">
        <v>40</v>
      </c>
      <c r="AC8" s="358">
        <v>1476308</v>
      </c>
      <c r="AD8" s="359">
        <v>3551.48</v>
      </c>
      <c r="AE8" s="357" t="s">
        <v>728</v>
      </c>
      <c r="AF8" s="357" t="s">
        <v>729</v>
      </c>
      <c r="AG8" s="91"/>
      <c r="AH8" s="358">
        <v>40</v>
      </c>
      <c r="AI8" s="358">
        <v>989293</v>
      </c>
      <c r="AJ8" s="359">
        <v>1818.43</v>
      </c>
      <c r="AK8" s="365" t="s">
        <v>728</v>
      </c>
      <c r="AL8" s="365" t="s">
        <v>729</v>
      </c>
      <c r="AM8" s="347"/>
      <c r="AN8" s="366">
        <v>40</v>
      </c>
      <c r="AO8" s="366">
        <v>788607</v>
      </c>
      <c r="AP8" s="367">
        <v>1771.4</v>
      </c>
      <c r="AQ8" s="365" t="s">
        <v>728</v>
      </c>
      <c r="AR8" s="365" t="s">
        <v>729</v>
      </c>
      <c r="AS8" s="347"/>
      <c r="AT8" s="366">
        <v>40</v>
      </c>
      <c r="AU8" s="366">
        <v>819131</v>
      </c>
      <c r="AV8" s="367">
        <v>1755.04</v>
      </c>
      <c r="AW8" s="365" t="s">
        <v>728</v>
      </c>
      <c r="AX8" s="365" t="s">
        <v>729</v>
      </c>
      <c r="AY8" s="347"/>
      <c r="AZ8" s="366">
        <v>40</v>
      </c>
      <c r="BA8" s="366">
        <v>1795919</v>
      </c>
      <c r="BB8" s="367">
        <v>3800.01</v>
      </c>
      <c r="BC8" s="365" t="s">
        <v>728</v>
      </c>
      <c r="BD8" s="365" t="s">
        <v>729</v>
      </c>
      <c r="BE8" s="347"/>
      <c r="BF8" s="366">
        <v>40</v>
      </c>
      <c r="BG8" s="366">
        <v>1678530</v>
      </c>
      <c r="BH8" s="367">
        <v>3668.38</v>
      </c>
      <c r="BI8" s="365" t="s">
        <v>728</v>
      </c>
      <c r="BJ8" s="365" t="s">
        <v>729</v>
      </c>
      <c r="BK8" s="347"/>
      <c r="BL8" s="366">
        <v>40</v>
      </c>
      <c r="BM8" s="366">
        <v>1671444</v>
      </c>
      <c r="BN8" s="367">
        <v>3601.47</v>
      </c>
      <c r="BO8" s="365" t="s">
        <v>728</v>
      </c>
      <c r="BP8" s="365" t="s">
        <v>729</v>
      </c>
      <c r="BQ8" s="347"/>
      <c r="BR8" s="366">
        <v>40</v>
      </c>
      <c r="BS8" s="366">
        <v>1634342</v>
      </c>
      <c r="BT8" s="367">
        <v>3554.98</v>
      </c>
    </row>
    <row r="9" spans="1:72">
      <c r="A9" s="357" t="s">
        <v>730</v>
      </c>
      <c r="B9" s="357" t="s">
        <v>731</v>
      </c>
      <c r="C9" s="91"/>
      <c r="D9" s="358">
        <v>17</v>
      </c>
      <c r="E9" s="358">
        <v>958641</v>
      </c>
      <c r="F9" s="359">
        <v>2526.83</v>
      </c>
      <c r="G9" s="357" t="s">
        <v>730</v>
      </c>
      <c r="H9" s="357" t="s">
        <v>731</v>
      </c>
      <c r="I9" s="91"/>
      <c r="J9" s="358">
        <v>16</v>
      </c>
      <c r="K9" s="358">
        <v>922824</v>
      </c>
      <c r="L9" s="359">
        <v>3291.19</v>
      </c>
      <c r="M9" s="357" t="s">
        <v>730</v>
      </c>
      <c r="N9" s="357" t="s">
        <v>731</v>
      </c>
      <c r="O9" s="91"/>
      <c r="P9" s="358">
        <v>17</v>
      </c>
      <c r="Q9" s="358">
        <v>904536</v>
      </c>
      <c r="R9" s="359">
        <v>2845.83</v>
      </c>
      <c r="S9" s="357" t="s">
        <v>730</v>
      </c>
      <c r="T9" s="357" t="s">
        <v>731</v>
      </c>
      <c r="U9" s="91"/>
      <c r="V9" s="358">
        <v>17</v>
      </c>
      <c r="W9" s="358">
        <v>1060882</v>
      </c>
      <c r="X9" s="359">
        <v>3924.58</v>
      </c>
      <c r="Y9" s="357" t="s">
        <v>730</v>
      </c>
      <c r="Z9" s="357" t="s">
        <v>731</v>
      </c>
      <c r="AA9" s="91"/>
      <c r="AB9" s="358">
        <v>17</v>
      </c>
      <c r="AC9" s="358">
        <v>1083706</v>
      </c>
      <c r="AD9" s="359">
        <v>3685.31</v>
      </c>
      <c r="AE9" s="357" t="s">
        <v>730</v>
      </c>
      <c r="AF9" s="357" t="s">
        <v>731</v>
      </c>
      <c r="AG9" s="91"/>
      <c r="AH9" s="358">
        <v>17</v>
      </c>
      <c r="AI9" s="358">
        <v>1328200</v>
      </c>
      <c r="AJ9" s="359">
        <v>2767.77</v>
      </c>
      <c r="AK9" s="365" t="s">
        <v>730</v>
      </c>
      <c r="AL9" s="365" t="s">
        <v>731</v>
      </c>
      <c r="AM9" s="347"/>
      <c r="AN9" s="366">
        <v>17</v>
      </c>
      <c r="AO9" s="366">
        <v>1066515</v>
      </c>
      <c r="AP9" s="367">
        <v>2978.37</v>
      </c>
      <c r="AQ9" s="365" t="s">
        <v>730</v>
      </c>
      <c r="AR9" s="365" t="s">
        <v>731</v>
      </c>
      <c r="AS9" s="347"/>
      <c r="AT9" s="366">
        <v>17</v>
      </c>
      <c r="AU9" s="366">
        <v>1137832</v>
      </c>
      <c r="AV9" s="367">
        <v>3040.34</v>
      </c>
      <c r="AW9" s="365" t="s">
        <v>730</v>
      </c>
      <c r="AX9" s="365" t="s">
        <v>731</v>
      </c>
      <c r="AY9" s="347"/>
      <c r="AZ9" s="366">
        <v>17</v>
      </c>
      <c r="BA9" s="366">
        <v>1467525</v>
      </c>
      <c r="BB9" s="367">
        <v>4883.84</v>
      </c>
      <c r="BC9" s="365" t="s">
        <v>730</v>
      </c>
      <c r="BD9" s="365" t="s">
        <v>731</v>
      </c>
      <c r="BE9" s="347"/>
      <c r="BF9" s="366">
        <v>17</v>
      </c>
      <c r="BG9" s="366">
        <v>1119482</v>
      </c>
      <c r="BH9" s="367">
        <v>4144.7</v>
      </c>
      <c r="BI9" s="365" t="s">
        <v>730</v>
      </c>
      <c r="BJ9" s="365" t="s">
        <v>731</v>
      </c>
      <c r="BK9" s="347"/>
      <c r="BL9" s="366">
        <v>17</v>
      </c>
      <c r="BM9" s="366">
        <v>1113209</v>
      </c>
      <c r="BN9" s="367">
        <v>4593.7299999999996</v>
      </c>
      <c r="BO9" s="365" t="s">
        <v>730</v>
      </c>
      <c r="BP9" s="365" t="s">
        <v>731</v>
      </c>
      <c r="BQ9" s="347"/>
      <c r="BR9" s="366">
        <v>17</v>
      </c>
      <c r="BS9" s="366">
        <v>1231440</v>
      </c>
      <c r="BT9" s="367">
        <v>4754.26</v>
      </c>
    </row>
    <row r="10" spans="1:72">
      <c r="A10" s="357" t="s">
        <v>732</v>
      </c>
      <c r="B10" s="357" t="s">
        <v>733</v>
      </c>
      <c r="C10" s="91"/>
      <c r="D10" s="358">
        <v>16</v>
      </c>
      <c r="E10" s="358">
        <v>1051238</v>
      </c>
      <c r="F10" s="359">
        <v>2314.48</v>
      </c>
      <c r="G10" s="357" t="s">
        <v>732</v>
      </c>
      <c r="H10" s="357" t="s">
        <v>733</v>
      </c>
      <c r="I10" s="91"/>
      <c r="J10" s="358">
        <v>16</v>
      </c>
      <c r="K10" s="358">
        <v>1130456</v>
      </c>
      <c r="L10" s="359">
        <v>2853.71</v>
      </c>
      <c r="M10" s="357" t="s">
        <v>732</v>
      </c>
      <c r="N10" s="357" t="s">
        <v>733</v>
      </c>
      <c r="O10" s="91"/>
      <c r="P10" s="358">
        <v>16</v>
      </c>
      <c r="Q10" s="358">
        <v>1141072</v>
      </c>
      <c r="R10" s="359">
        <v>2808.4</v>
      </c>
      <c r="S10" s="357" t="s">
        <v>732</v>
      </c>
      <c r="T10" s="357" t="s">
        <v>733</v>
      </c>
      <c r="U10" s="91"/>
      <c r="V10" s="358">
        <v>16</v>
      </c>
      <c r="W10" s="358">
        <v>1387802</v>
      </c>
      <c r="X10" s="359">
        <v>2753.3</v>
      </c>
      <c r="Y10" s="357" t="s">
        <v>732</v>
      </c>
      <c r="Z10" s="357" t="s">
        <v>733</v>
      </c>
      <c r="AA10" s="91"/>
      <c r="AB10" s="358">
        <v>16</v>
      </c>
      <c r="AC10" s="358">
        <v>1285171</v>
      </c>
      <c r="AD10" s="359">
        <v>2902.72</v>
      </c>
      <c r="AE10" s="357" t="s">
        <v>732</v>
      </c>
      <c r="AF10" s="357" t="s">
        <v>733</v>
      </c>
      <c r="AG10" s="91"/>
      <c r="AH10" s="358">
        <v>16</v>
      </c>
      <c r="AI10" s="358">
        <v>1569365</v>
      </c>
      <c r="AJ10" s="359">
        <v>3061.76</v>
      </c>
      <c r="AK10" s="365" t="s">
        <v>732</v>
      </c>
      <c r="AL10" s="365" t="s">
        <v>733</v>
      </c>
      <c r="AM10" s="347"/>
      <c r="AN10" s="366">
        <v>16</v>
      </c>
      <c r="AO10" s="366">
        <v>1155117</v>
      </c>
      <c r="AP10" s="367">
        <v>2816.09</v>
      </c>
      <c r="AQ10" s="365" t="s">
        <v>732</v>
      </c>
      <c r="AR10" s="365" t="s">
        <v>733</v>
      </c>
      <c r="AS10" s="347"/>
      <c r="AT10" s="366">
        <v>16</v>
      </c>
      <c r="AU10" s="366">
        <v>1258003</v>
      </c>
      <c r="AV10" s="367">
        <v>2829.43</v>
      </c>
      <c r="AW10" s="365" t="s">
        <v>732</v>
      </c>
      <c r="AX10" s="365" t="s">
        <v>733</v>
      </c>
      <c r="AY10" s="347"/>
      <c r="AZ10" s="366">
        <v>16</v>
      </c>
      <c r="BA10" s="366">
        <v>1526192</v>
      </c>
      <c r="BB10" s="367">
        <v>3105.22</v>
      </c>
      <c r="BC10" s="365" t="s">
        <v>732</v>
      </c>
      <c r="BD10" s="365" t="s">
        <v>733</v>
      </c>
      <c r="BE10" s="347"/>
      <c r="BF10" s="366">
        <v>16</v>
      </c>
      <c r="BG10" s="366">
        <v>1319180</v>
      </c>
      <c r="BH10" s="367">
        <v>2875.64</v>
      </c>
      <c r="BI10" s="365" t="s">
        <v>732</v>
      </c>
      <c r="BJ10" s="365" t="s">
        <v>733</v>
      </c>
      <c r="BK10" s="347"/>
      <c r="BL10" s="366">
        <v>16</v>
      </c>
      <c r="BM10" s="366">
        <v>1247907</v>
      </c>
      <c r="BN10" s="367">
        <v>2871.1</v>
      </c>
      <c r="BO10" s="365" t="s">
        <v>732</v>
      </c>
      <c r="BP10" s="365" t="s">
        <v>733</v>
      </c>
      <c r="BQ10" s="347"/>
      <c r="BR10" s="366">
        <v>16</v>
      </c>
      <c r="BS10" s="366">
        <v>1290856</v>
      </c>
      <c r="BT10" s="367">
        <v>2763.05</v>
      </c>
    </row>
    <row r="11" spans="1:72">
      <c r="A11" s="360" t="s">
        <v>734</v>
      </c>
      <c r="B11" s="91"/>
      <c r="C11" s="91"/>
      <c r="D11" s="358">
        <v>86</v>
      </c>
      <c r="E11" s="358">
        <v>3557776</v>
      </c>
      <c r="F11" s="359">
        <v>9884.74</v>
      </c>
      <c r="G11" s="360" t="s">
        <v>734</v>
      </c>
      <c r="H11" s="91"/>
      <c r="I11" s="91"/>
      <c r="J11" s="358">
        <v>85</v>
      </c>
      <c r="K11" s="358">
        <v>4518417</v>
      </c>
      <c r="L11" s="359">
        <v>11683.03</v>
      </c>
      <c r="M11" s="360" t="s">
        <v>734</v>
      </c>
      <c r="N11" s="91"/>
      <c r="O11" s="91"/>
      <c r="P11" s="358">
        <v>86</v>
      </c>
      <c r="Q11" s="358">
        <v>4192670</v>
      </c>
      <c r="R11" s="359">
        <v>11201.06</v>
      </c>
      <c r="S11" s="360" t="s">
        <v>734</v>
      </c>
      <c r="T11" s="91"/>
      <c r="U11" s="91"/>
      <c r="V11" s="358">
        <v>86</v>
      </c>
      <c r="W11" s="358">
        <v>5177541</v>
      </c>
      <c r="X11" s="359">
        <v>12019.86</v>
      </c>
      <c r="Y11" s="360" t="s">
        <v>734</v>
      </c>
      <c r="Z11" s="91"/>
      <c r="AA11" s="91"/>
      <c r="AB11" s="358">
        <v>86</v>
      </c>
      <c r="AC11" s="358">
        <v>4794301</v>
      </c>
      <c r="AD11" s="359">
        <v>12394.71</v>
      </c>
      <c r="AE11" s="360" t="s">
        <v>734</v>
      </c>
      <c r="AF11" s="91"/>
      <c r="AG11" s="91"/>
      <c r="AH11" s="358">
        <v>86</v>
      </c>
      <c r="AI11" s="358">
        <v>4987119</v>
      </c>
      <c r="AJ11" s="359">
        <v>9494.52</v>
      </c>
      <c r="AK11" s="368" t="s">
        <v>734</v>
      </c>
      <c r="AL11" s="347"/>
      <c r="AM11" s="347"/>
      <c r="AN11" s="366">
        <v>86</v>
      </c>
      <c r="AO11" s="366">
        <v>3894401</v>
      </c>
      <c r="AP11" s="367">
        <v>9367.06</v>
      </c>
      <c r="AQ11" s="368" t="s">
        <v>734</v>
      </c>
      <c r="AR11" s="347"/>
      <c r="AS11" s="347"/>
      <c r="AT11" s="366">
        <v>86</v>
      </c>
      <c r="AU11" s="366">
        <v>4160670</v>
      </c>
      <c r="AV11" s="367">
        <v>9606.25</v>
      </c>
      <c r="AW11" s="368" t="s">
        <v>734</v>
      </c>
      <c r="AX11" s="347"/>
      <c r="AY11" s="347"/>
      <c r="AZ11" s="366">
        <v>86</v>
      </c>
      <c r="BA11" s="366">
        <v>6055362</v>
      </c>
      <c r="BB11" s="367">
        <v>14074.35</v>
      </c>
      <c r="BC11" s="368" t="s">
        <v>734</v>
      </c>
      <c r="BD11" s="347"/>
      <c r="BE11" s="347"/>
      <c r="BF11" s="366">
        <v>86</v>
      </c>
      <c r="BG11" s="366">
        <v>5194937</v>
      </c>
      <c r="BH11" s="367">
        <v>12918.08</v>
      </c>
      <c r="BI11" s="368" t="s">
        <v>734</v>
      </c>
      <c r="BJ11" s="347"/>
      <c r="BK11" s="347"/>
      <c r="BL11" s="366">
        <v>86</v>
      </c>
      <c r="BM11" s="366">
        <v>4949655</v>
      </c>
      <c r="BN11" s="367">
        <v>13155.74</v>
      </c>
      <c r="BO11" s="368" t="s">
        <v>734</v>
      </c>
      <c r="BP11" s="347"/>
      <c r="BQ11" s="347"/>
      <c r="BR11" s="366">
        <v>86</v>
      </c>
      <c r="BS11" s="366">
        <v>5015424</v>
      </c>
      <c r="BT11" s="367">
        <v>13073.41</v>
      </c>
    </row>
    <row r="12" spans="1:72">
      <c r="A12" s="91"/>
      <c r="B12" s="91"/>
      <c r="C12" s="91"/>
      <c r="D12" s="9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347"/>
      <c r="AL12" s="347"/>
      <c r="AM12" s="347"/>
      <c r="AN12" s="347"/>
      <c r="AO12" s="347"/>
      <c r="AP12" s="347"/>
      <c r="AQ12" s="347"/>
      <c r="AR12" s="347"/>
      <c r="AS12" s="347"/>
      <c r="AT12" s="347"/>
      <c r="AU12" s="347"/>
      <c r="AV12" s="347"/>
      <c r="AW12" s="347"/>
      <c r="AX12" s="347"/>
      <c r="AY12" s="347"/>
      <c r="AZ12" s="347"/>
      <c r="BA12" s="347"/>
      <c r="BB12" s="347"/>
      <c r="BC12" s="347"/>
      <c r="BD12" s="347"/>
      <c r="BE12" s="347"/>
      <c r="BF12" s="347"/>
      <c r="BG12" s="347"/>
      <c r="BH12" s="347"/>
      <c r="BI12" s="347"/>
      <c r="BJ12" s="347"/>
      <c r="BK12" s="347"/>
      <c r="BL12" s="347"/>
      <c r="BM12" s="347"/>
      <c r="BN12" s="347"/>
      <c r="BO12" s="347"/>
      <c r="BP12" s="347"/>
      <c r="BQ12" s="347"/>
      <c r="BR12" s="347"/>
      <c r="BS12" s="347"/>
      <c r="BT12" s="347"/>
    </row>
    <row r="13" spans="1:72">
      <c r="A13" s="357" t="s">
        <v>735</v>
      </c>
      <c r="B13" s="357" t="s">
        <v>736</v>
      </c>
      <c r="C13" s="91"/>
      <c r="D13" s="358">
        <v>225</v>
      </c>
      <c r="E13" s="358">
        <v>9913797</v>
      </c>
      <c r="F13" s="359">
        <v>23009.439999999999</v>
      </c>
      <c r="G13" s="357" t="s">
        <v>735</v>
      </c>
      <c r="H13" s="357" t="s">
        <v>736</v>
      </c>
      <c r="I13" s="91"/>
      <c r="J13" s="358">
        <v>224</v>
      </c>
      <c r="K13" s="358">
        <v>10599252</v>
      </c>
      <c r="L13" s="359">
        <v>24202.31</v>
      </c>
      <c r="M13" s="357" t="s">
        <v>735</v>
      </c>
      <c r="N13" s="357" t="s">
        <v>736</v>
      </c>
      <c r="O13" s="91"/>
      <c r="P13" s="358">
        <v>224</v>
      </c>
      <c r="Q13" s="358">
        <v>11319823</v>
      </c>
      <c r="R13" s="359">
        <v>24342.67</v>
      </c>
      <c r="S13" s="357" t="s">
        <v>735</v>
      </c>
      <c r="T13" s="357" t="s">
        <v>736</v>
      </c>
      <c r="U13" s="91"/>
      <c r="V13" s="358">
        <v>227</v>
      </c>
      <c r="W13" s="358">
        <v>10855302</v>
      </c>
      <c r="X13" s="359">
        <v>25764.67</v>
      </c>
      <c r="Y13" s="357" t="s">
        <v>735</v>
      </c>
      <c r="Z13" s="357" t="s">
        <v>736</v>
      </c>
      <c r="AA13" s="91"/>
      <c r="AB13" s="358">
        <v>223</v>
      </c>
      <c r="AC13" s="358">
        <v>10864352</v>
      </c>
      <c r="AD13" s="359">
        <v>28953.040000000001</v>
      </c>
      <c r="AE13" s="357" t="s">
        <v>735</v>
      </c>
      <c r="AF13" s="357" t="s">
        <v>736</v>
      </c>
      <c r="AG13" s="91"/>
      <c r="AH13" s="358">
        <v>224</v>
      </c>
      <c r="AI13" s="358">
        <v>14454005</v>
      </c>
      <c r="AJ13" s="359">
        <v>28203.25</v>
      </c>
      <c r="AK13" s="365" t="s">
        <v>735</v>
      </c>
      <c r="AL13" s="365" t="s">
        <v>736</v>
      </c>
      <c r="AM13" s="347"/>
      <c r="AN13" s="366">
        <v>224</v>
      </c>
      <c r="AO13" s="366">
        <v>10791241</v>
      </c>
      <c r="AP13" s="367">
        <v>25621.71</v>
      </c>
      <c r="AQ13" s="365" t="s">
        <v>735</v>
      </c>
      <c r="AR13" s="365" t="s">
        <v>736</v>
      </c>
      <c r="AS13" s="347"/>
      <c r="AT13" s="366">
        <v>227</v>
      </c>
      <c r="AU13" s="366">
        <v>11845439</v>
      </c>
      <c r="AV13" s="367">
        <v>30653.71</v>
      </c>
      <c r="AW13" s="365" t="s">
        <v>735</v>
      </c>
      <c r="AX13" s="365" t="s">
        <v>736</v>
      </c>
      <c r="AY13" s="347"/>
      <c r="AZ13" s="366">
        <v>227</v>
      </c>
      <c r="BA13" s="366">
        <v>14743750</v>
      </c>
      <c r="BB13" s="367">
        <v>29018.58</v>
      </c>
      <c r="BC13" s="365" t="s">
        <v>735</v>
      </c>
      <c r="BD13" s="365" t="s">
        <v>736</v>
      </c>
      <c r="BE13" s="347"/>
      <c r="BF13" s="366">
        <v>226</v>
      </c>
      <c r="BG13" s="366">
        <v>11822590</v>
      </c>
      <c r="BH13" s="367">
        <v>26967.83</v>
      </c>
      <c r="BI13" s="365" t="s">
        <v>735</v>
      </c>
      <c r="BJ13" s="365" t="s">
        <v>736</v>
      </c>
      <c r="BK13" s="347"/>
      <c r="BL13" s="366">
        <v>227</v>
      </c>
      <c r="BM13" s="366">
        <v>11052985</v>
      </c>
      <c r="BN13" s="367">
        <v>24900.63</v>
      </c>
      <c r="BO13" s="365" t="s">
        <v>735</v>
      </c>
      <c r="BP13" s="365" t="s">
        <v>736</v>
      </c>
      <c r="BQ13" s="347"/>
      <c r="BR13" s="366">
        <v>228</v>
      </c>
      <c r="BS13" s="366">
        <v>12122968</v>
      </c>
      <c r="BT13" s="367">
        <v>24482.6</v>
      </c>
    </row>
    <row r="14" spans="1:72">
      <c r="A14" s="357" t="s">
        <v>737</v>
      </c>
      <c r="B14" s="357" t="s">
        <v>738</v>
      </c>
      <c r="C14" s="91"/>
      <c r="D14" s="358">
        <v>2</v>
      </c>
      <c r="E14" s="358">
        <v>774720</v>
      </c>
      <c r="F14" s="359">
        <v>1375.2</v>
      </c>
      <c r="G14" s="357" t="s">
        <v>737</v>
      </c>
      <c r="H14" s="357" t="s">
        <v>738</v>
      </c>
      <c r="I14" s="91"/>
      <c r="J14" s="358">
        <v>2</v>
      </c>
      <c r="K14" s="358">
        <v>774000</v>
      </c>
      <c r="L14" s="359">
        <v>1519.2</v>
      </c>
      <c r="M14" s="357" t="s">
        <v>737</v>
      </c>
      <c r="N14" s="357" t="s">
        <v>738</v>
      </c>
      <c r="O14" s="91"/>
      <c r="P14" s="358">
        <v>2</v>
      </c>
      <c r="Q14" s="358">
        <v>742320</v>
      </c>
      <c r="R14" s="359">
        <v>1411.2</v>
      </c>
      <c r="S14" s="357" t="s">
        <v>737</v>
      </c>
      <c r="T14" s="357" t="s">
        <v>738</v>
      </c>
      <c r="U14" s="91"/>
      <c r="V14" s="358">
        <v>2</v>
      </c>
      <c r="W14" s="358">
        <v>704880</v>
      </c>
      <c r="X14" s="359">
        <v>1605.6</v>
      </c>
      <c r="Y14" s="357" t="s">
        <v>737</v>
      </c>
      <c r="Z14" s="357" t="s">
        <v>738</v>
      </c>
      <c r="AA14" s="91"/>
      <c r="AB14" s="358">
        <v>2</v>
      </c>
      <c r="AC14" s="358">
        <v>604800</v>
      </c>
      <c r="AD14" s="359">
        <v>1260</v>
      </c>
      <c r="AE14" s="357" t="s">
        <v>737</v>
      </c>
      <c r="AF14" s="357" t="s">
        <v>738</v>
      </c>
      <c r="AG14" s="91"/>
      <c r="AH14" s="358">
        <v>2</v>
      </c>
      <c r="AI14" s="358">
        <v>682560</v>
      </c>
      <c r="AJ14" s="359">
        <v>1080</v>
      </c>
      <c r="AK14" s="365" t="s">
        <v>737</v>
      </c>
      <c r="AL14" s="365" t="s">
        <v>738</v>
      </c>
      <c r="AM14" s="347"/>
      <c r="AN14" s="366">
        <v>2</v>
      </c>
      <c r="AO14" s="366">
        <v>484560</v>
      </c>
      <c r="AP14" s="367">
        <v>1324.8</v>
      </c>
      <c r="AQ14" s="365" t="s">
        <v>737</v>
      </c>
      <c r="AR14" s="365" t="s">
        <v>738</v>
      </c>
      <c r="AS14" s="347"/>
      <c r="AT14" s="366">
        <v>2</v>
      </c>
      <c r="AU14" s="366">
        <v>467280</v>
      </c>
      <c r="AV14" s="367">
        <v>964.8</v>
      </c>
      <c r="AW14" s="365" t="s">
        <v>737</v>
      </c>
      <c r="AX14" s="365" t="s">
        <v>738</v>
      </c>
      <c r="AY14" s="347"/>
      <c r="AZ14" s="366">
        <v>2</v>
      </c>
      <c r="BA14" s="366">
        <v>540720</v>
      </c>
      <c r="BB14" s="367">
        <v>1051.2</v>
      </c>
      <c r="BC14" s="365" t="s">
        <v>737</v>
      </c>
      <c r="BD14" s="365" t="s">
        <v>738</v>
      </c>
      <c r="BE14" s="347"/>
      <c r="BF14" s="366">
        <v>2</v>
      </c>
      <c r="BG14" s="366">
        <v>553680</v>
      </c>
      <c r="BH14" s="367">
        <v>1144.8</v>
      </c>
      <c r="BI14" s="365" t="s">
        <v>737</v>
      </c>
      <c r="BJ14" s="365" t="s">
        <v>738</v>
      </c>
      <c r="BK14" s="347"/>
      <c r="BL14" s="366">
        <v>2</v>
      </c>
      <c r="BM14" s="366">
        <v>560160</v>
      </c>
      <c r="BN14" s="367">
        <v>1440</v>
      </c>
      <c r="BO14" s="365" t="s">
        <v>737</v>
      </c>
      <c r="BP14" s="365" t="s">
        <v>738</v>
      </c>
      <c r="BQ14" s="347"/>
      <c r="BR14" s="366">
        <v>2</v>
      </c>
      <c r="BS14" s="366">
        <v>797760</v>
      </c>
      <c r="BT14" s="367">
        <v>1389.6</v>
      </c>
    </row>
    <row r="15" spans="1:72">
      <c r="A15" s="360" t="s">
        <v>739</v>
      </c>
      <c r="B15" s="91"/>
      <c r="C15" s="91"/>
      <c r="D15" s="358">
        <v>227</v>
      </c>
      <c r="E15" s="358">
        <v>10688517</v>
      </c>
      <c r="F15" s="359">
        <v>24384.639999999999</v>
      </c>
      <c r="G15" s="360" t="s">
        <v>739</v>
      </c>
      <c r="H15" s="91"/>
      <c r="I15" s="91"/>
      <c r="J15" s="358">
        <v>226</v>
      </c>
      <c r="K15" s="358">
        <v>11373252</v>
      </c>
      <c r="L15" s="359">
        <v>25721.51</v>
      </c>
      <c r="M15" s="360" t="s">
        <v>739</v>
      </c>
      <c r="N15" s="91"/>
      <c r="O15" s="91"/>
      <c r="P15" s="358">
        <v>226</v>
      </c>
      <c r="Q15" s="358">
        <v>12062143</v>
      </c>
      <c r="R15" s="359">
        <v>25753.87</v>
      </c>
      <c r="S15" s="360" t="s">
        <v>739</v>
      </c>
      <c r="T15" s="91"/>
      <c r="U15" s="91"/>
      <c r="V15" s="358">
        <v>229</v>
      </c>
      <c r="W15" s="358">
        <v>11560182</v>
      </c>
      <c r="X15" s="359">
        <v>27370.27</v>
      </c>
      <c r="Y15" s="360" t="s">
        <v>739</v>
      </c>
      <c r="Z15" s="91"/>
      <c r="AA15" s="91"/>
      <c r="AB15" s="358">
        <v>225</v>
      </c>
      <c r="AC15" s="358">
        <v>11469152</v>
      </c>
      <c r="AD15" s="359">
        <v>30213.040000000001</v>
      </c>
      <c r="AE15" s="360" t="s">
        <v>739</v>
      </c>
      <c r="AF15" s="91"/>
      <c r="AG15" s="91"/>
      <c r="AH15" s="358">
        <v>226</v>
      </c>
      <c r="AI15" s="358">
        <v>15136565</v>
      </c>
      <c r="AJ15" s="359">
        <v>29283.25</v>
      </c>
      <c r="AK15" s="368" t="s">
        <v>739</v>
      </c>
      <c r="AL15" s="347"/>
      <c r="AM15" s="347"/>
      <c r="AN15" s="366">
        <v>226</v>
      </c>
      <c r="AO15" s="366">
        <v>11275801</v>
      </c>
      <c r="AP15" s="367">
        <v>26946.51</v>
      </c>
      <c r="AQ15" s="368" t="s">
        <v>739</v>
      </c>
      <c r="AR15" s="347"/>
      <c r="AS15" s="347"/>
      <c r="AT15" s="366">
        <v>229</v>
      </c>
      <c r="AU15" s="366">
        <v>12312719</v>
      </c>
      <c r="AV15" s="367">
        <v>31618.51</v>
      </c>
      <c r="AW15" s="368" t="s">
        <v>739</v>
      </c>
      <c r="AX15" s="347"/>
      <c r="AY15" s="347"/>
      <c r="AZ15" s="366">
        <v>229</v>
      </c>
      <c r="BA15" s="366">
        <v>15284470</v>
      </c>
      <c r="BB15" s="367">
        <v>30069.78</v>
      </c>
      <c r="BC15" s="368" t="s">
        <v>739</v>
      </c>
      <c r="BD15" s="347"/>
      <c r="BE15" s="347"/>
      <c r="BF15" s="366">
        <v>228</v>
      </c>
      <c r="BG15" s="366">
        <v>12376270</v>
      </c>
      <c r="BH15" s="367">
        <v>28112.63</v>
      </c>
      <c r="BI15" s="368" t="s">
        <v>739</v>
      </c>
      <c r="BJ15" s="347"/>
      <c r="BK15" s="347"/>
      <c r="BL15" s="366">
        <v>229</v>
      </c>
      <c r="BM15" s="366">
        <v>11613145</v>
      </c>
      <c r="BN15" s="367">
        <v>26340.63</v>
      </c>
      <c r="BO15" s="368" t="s">
        <v>739</v>
      </c>
      <c r="BP15" s="347"/>
      <c r="BQ15" s="347"/>
      <c r="BR15" s="366">
        <v>230</v>
      </c>
      <c r="BS15" s="366">
        <v>12920728</v>
      </c>
      <c r="BT15" s="367">
        <v>25872.2</v>
      </c>
    </row>
    <row r="16" spans="1:72">
      <c r="A16" s="91"/>
      <c r="B16" s="91"/>
      <c r="C16" s="91"/>
      <c r="D16" s="91"/>
      <c r="E16" s="92">
        <f>E11+E15</f>
        <v>14246293</v>
      </c>
      <c r="F16" s="91"/>
      <c r="G16" s="91"/>
      <c r="H16" s="91"/>
      <c r="I16" s="91"/>
      <c r="J16" s="91"/>
      <c r="K16" s="92">
        <f>K11+K15</f>
        <v>15891669</v>
      </c>
      <c r="L16" s="91"/>
      <c r="M16" s="91"/>
      <c r="N16" s="91"/>
      <c r="O16" s="91"/>
      <c r="P16" s="91"/>
      <c r="Q16" s="92">
        <f>Q11+Q15</f>
        <v>16254813</v>
      </c>
      <c r="R16" s="91"/>
      <c r="S16" s="91"/>
      <c r="T16" s="91"/>
      <c r="U16" s="91"/>
      <c r="V16" s="91"/>
      <c r="W16" s="92">
        <f>W11+W15</f>
        <v>16737723</v>
      </c>
      <c r="X16" s="91"/>
      <c r="Y16" s="91"/>
      <c r="Z16" s="91"/>
      <c r="AA16" s="91"/>
      <c r="AB16" s="91"/>
      <c r="AC16" s="92">
        <f>AC11+AC15</f>
        <v>16263453</v>
      </c>
      <c r="AD16" s="91"/>
      <c r="AE16" s="91"/>
      <c r="AF16" s="91"/>
      <c r="AG16" s="91"/>
      <c r="AH16" s="91"/>
      <c r="AI16" s="92">
        <f>AI11+AI15</f>
        <v>20123684</v>
      </c>
      <c r="AJ16" s="91"/>
      <c r="AK16" s="347"/>
      <c r="AL16" s="347"/>
      <c r="AM16" s="347"/>
      <c r="AN16" s="347"/>
      <c r="AO16" s="92">
        <f>AO11+AO15</f>
        <v>15170202</v>
      </c>
      <c r="AP16" s="347"/>
      <c r="AQ16" s="347"/>
      <c r="AR16" s="347"/>
      <c r="AS16" s="347"/>
      <c r="AT16" s="347"/>
      <c r="AU16" s="92">
        <f>AU11+AU15</f>
        <v>16473389</v>
      </c>
      <c r="AV16" s="347"/>
      <c r="AW16" s="347"/>
      <c r="AX16" s="347"/>
      <c r="AY16" s="347"/>
      <c r="AZ16" s="347"/>
      <c r="BA16" s="92">
        <f>BA11+BA15</f>
        <v>21339832</v>
      </c>
      <c r="BB16" s="347"/>
      <c r="BC16" s="347"/>
      <c r="BD16" s="347"/>
      <c r="BE16" s="347"/>
      <c r="BF16" s="347"/>
      <c r="BG16" s="92">
        <f>BG11+BG15</f>
        <v>17571207</v>
      </c>
      <c r="BH16" s="347"/>
      <c r="BI16" s="347"/>
      <c r="BJ16" s="347"/>
      <c r="BK16" s="347"/>
      <c r="BL16" s="347"/>
      <c r="BM16" s="92">
        <f>BM11+BM15</f>
        <v>16562800</v>
      </c>
      <c r="BN16" s="347"/>
      <c r="BO16" s="347"/>
      <c r="BP16" s="347"/>
      <c r="BQ16" s="347"/>
      <c r="BR16" s="347"/>
      <c r="BS16" s="92">
        <f>BS11+BS15</f>
        <v>17936152</v>
      </c>
      <c r="BT16" s="347"/>
    </row>
    <row r="17" spans="1:72">
      <c r="A17" s="357" t="s">
        <v>740</v>
      </c>
      <c r="B17" s="357" t="s">
        <v>741</v>
      </c>
      <c r="C17" s="91"/>
      <c r="D17" s="358">
        <v>4</v>
      </c>
      <c r="E17" s="358">
        <v>94784</v>
      </c>
      <c r="F17" s="359">
        <v>265.83999999999997</v>
      </c>
      <c r="G17" s="357" t="s">
        <v>740</v>
      </c>
      <c r="H17" s="357" t="s">
        <v>741</v>
      </c>
      <c r="I17" s="91"/>
      <c r="J17" s="358">
        <v>4</v>
      </c>
      <c r="K17" s="358">
        <v>105160</v>
      </c>
      <c r="L17" s="359">
        <v>347.52</v>
      </c>
      <c r="M17" s="357" t="s">
        <v>740</v>
      </c>
      <c r="N17" s="357" t="s">
        <v>741</v>
      </c>
      <c r="O17" s="91"/>
      <c r="P17" s="358">
        <v>4</v>
      </c>
      <c r="Q17" s="358">
        <v>102824</v>
      </c>
      <c r="R17" s="359">
        <v>332.32</v>
      </c>
      <c r="S17" s="357" t="s">
        <v>740</v>
      </c>
      <c r="T17" s="357" t="s">
        <v>741</v>
      </c>
      <c r="U17" s="91"/>
      <c r="V17" s="358">
        <v>4</v>
      </c>
      <c r="W17" s="358">
        <v>115176</v>
      </c>
      <c r="X17" s="359">
        <v>339.44</v>
      </c>
      <c r="Y17" s="357" t="s">
        <v>740</v>
      </c>
      <c r="Z17" s="357" t="s">
        <v>741</v>
      </c>
      <c r="AA17" s="91"/>
      <c r="AB17" s="358">
        <v>4</v>
      </c>
      <c r="AC17" s="358">
        <v>105496</v>
      </c>
      <c r="AD17" s="359">
        <v>360.56</v>
      </c>
      <c r="AE17" s="357" t="s">
        <v>740</v>
      </c>
      <c r="AF17" s="357" t="s">
        <v>741</v>
      </c>
      <c r="AG17" s="91"/>
      <c r="AH17" s="358">
        <v>4</v>
      </c>
      <c r="AI17" s="358">
        <v>114264</v>
      </c>
      <c r="AJ17" s="359">
        <v>239.68</v>
      </c>
      <c r="AK17" s="365" t="s">
        <v>740</v>
      </c>
      <c r="AL17" s="365" t="s">
        <v>741</v>
      </c>
      <c r="AM17" s="347"/>
      <c r="AN17" s="366">
        <v>4</v>
      </c>
      <c r="AO17" s="366">
        <v>98768</v>
      </c>
      <c r="AP17" s="367">
        <v>236.24</v>
      </c>
      <c r="AQ17" s="365" t="s">
        <v>740</v>
      </c>
      <c r="AR17" s="365" t="s">
        <v>741</v>
      </c>
      <c r="AS17" s="347"/>
      <c r="AT17" s="366">
        <v>4</v>
      </c>
      <c r="AU17" s="366">
        <v>83488</v>
      </c>
      <c r="AV17" s="367">
        <v>276.08</v>
      </c>
      <c r="AW17" s="365" t="s">
        <v>740</v>
      </c>
      <c r="AX17" s="365" t="s">
        <v>741</v>
      </c>
      <c r="AY17" s="347"/>
      <c r="AZ17" s="366">
        <v>4</v>
      </c>
      <c r="BA17" s="366">
        <v>125192</v>
      </c>
      <c r="BB17" s="367">
        <v>342.48</v>
      </c>
      <c r="BC17" s="365" t="s">
        <v>740</v>
      </c>
      <c r="BD17" s="365" t="s">
        <v>741</v>
      </c>
      <c r="BE17" s="347"/>
      <c r="BF17" s="366">
        <v>4</v>
      </c>
      <c r="BG17" s="366">
        <v>110088</v>
      </c>
      <c r="BH17" s="367">
        <v>342.08</v>
      </c>
      <c r="BI17" s="365" t="s">
        <v>740</v>
      </c>
      <c r="BJ17" s="365" t="s">
        <v>741</v>
      </c>
      <c r="BK17" s="347"/>
      <c r="BL17" s="366">
        <v>4</v>
      </c>
      <c r="BM17" s="366">
        <v>109664</v>
      </c>
      <c r="BN17" s="367">
        <v>343.12</v>
      </c>
      <c r="BO17" s="365" t="s">
        <v>740</v>
      </c>
      <c r="BP17" s="365" t="s">
        <v>741</v>
      </c>
      <c r="BQ17" s="347"/>
      <c r="BR17" s="366">
        <v>4</v>
      </c>
      <c r="BS17" s="366">
        <v>115992</v>
      </c>
      <c r="BT17" s="367">
        <v>341.52</v>
      </c>
    </row>
    <row r="18" spans="1:72">
      <c r="A18" s="357" t="s">
        <v>742</v>
      </c>
      <c r="B18" s="357" t="s">
        <v>743</v>
      </c>
      <c r="C18" s="91"/>
      <c r="D18" s="358">
        <v>2</v>
      </c>
      <c r="E18" s="358">
        <v>454944</v>
      </c>
      <c r="F18" s="359">
        <v>863.04</v>
      </c>
      <c r="G18" s="357" t="s">
        <v>742</v>
      </c>
      <c r="H18" s="357" t="s">
        <v>743</v>
      </c>
      <c r="I18" s="91"/>
      <c r="J18" s="358">
        <v>2</v>
      </c>
      <c r="K18" s="358">
        <v>443520</v>
      </c>
      <c r="L18" s="359">
        <v>893.28</v>
      </c>
      <c r="M18" s="357" t="s">
        <v>742</v>
      </c>
      <c r="N18" s="357" t="s">
        <v>743</v>
      </c>
      <c r="O18" s="91"/>
      <c r="P18" s="358">
        <v>2</v>
      </c>
      <c r="Q18" s="358">
        <v>434784</v>
      </c>
      <c r="R18" s="359">
        <v>916.32</v>
      </c>
      <c r="S18" s="357" t="s">
        <v>742</v>
      </c>
      <c r="T18" s="357" t="s">
        <v>743</v>
      </c>
      <c r="U18" s="91"/>
      <c r="V18" s="358">
        <v>2</v>
      </c>
      <c r="W18" s="358">
        <v>477216</v>
      </c>
      <c r="X18" s="359">
        <v>985.92</v>
      </c>
      <c r="Y18" s="357" t="s">
        <v>742</v>
      </c>
      <c r="Z18" s="357" t="s">
        <v>743</v>
      </c>
      <c r="AA18" s="91"/>
      <c r="AB18" s="358">
        <v>2</v>
      </c>
      <c r="AC18" s="358">
        <v>452256</v>
      </c>
      <c r="AD18" s="359">
        <v>999.84</v>
      </c>
      <c r="AE18" s="357" t="s">
        <v>742</v>
      </c>
      <c r="AF18" s="357" t="s">
        <v>743</v>
      </c>
      <c r="AG18" s="91"/>
      <c r="AH18" s="358">
        <v>2</v>
      </c>
      <c r="AI18" s="358">
        <v>487584</v>
      </c>
      <c r="AJ18" s="359">
        <v>1058.4000000000001</v>
      </c>
      <c r="AK18" s="365" t="s">
        <v>742</v>
      </c>
      <c r="AL18" s="365" t="s">
        <v>743</v>
      </c>
      <c r="AM18" s="347"/>
      <c r="AN18" s="366">
        <v>2</v>
      </c>
      <c r="AO18" s="366">
        <v>475776</v>
      </c>
      <c r="AP18" s="367">
        <v>1007.52</v>
      </c>
      <c r="AQ18" s="365" t="s">
        <v>742</v>
      </c>
      <c r="AR18" s="365" t="s">
        <v>743</v>
      </c>
      <c r="AS18" s="347"/>
      <c r="AT18" s="366">
        <v>2</v>
      </c>
      <c r="AU18" s="366">
        <v>502560</v>
      </c>
      <c r="AV18" s="367">
        <v>1072.8</v>
      </c>
      <c r="AW18" s="365" t="s">
        <v>742</v>
      </c>
      <c r="AX18" s="365" t="s">
        <v>743</v>
      </c>
      <c r="AY18" s="347"/>
      <c r="AZ18" s="366">
        <v>2</v>
      </c>
      <c r="BA18" s="366">
        <v>493728</v>
      </c>
      <c r="BB18" s="367">
        <v>1056</v>
      </c>
      <c r="BC18" s="365" t="s">
        <v>742</v>
      </c>
      <c r="BD18" s="365" t="s">
        <v>743</v>
      </c>
      <c r="BE18" s="347"/>
      <c r="BF18" s="366">
        <v>3</v>
      </c>
      <c r="BG18" s="366">
        <v>629472</v>
      </c>
      <c r="BH18" s="367">
        <v>1291.2</v>
      </c>
      <c r="BI18" s="365" t="s">
        <v>742</v>
      </c>
      <c r="BJ18" s="365" t="s">
        <v>743</v>
      </c>
      <c r="BK18" s="347"/>
      <c r="BL18" s="366">
        <v>3</v>
      </c>
      <c r="BM18" s="366">
        <v>565152</v>
      </c>
      <c r="BN18" s="367">
        <v>1226.4000000000001</v>
      </c>
      <c r="BO18" s="365" t="s">
        <v>742</v>
      </c>
      <c r="BP18" s="365" t="s">
        <v>743</v>
      </c>
      <c r="BQ18" s="347"/>
      <c r="BR18" s="366">
        <v>2</v>
      </c>
      <c r="BS18" s="366">
        <v>510048</v>
      </c>
      <c r="BT18" s="367">
        <v>917.76</v>
      </c>
    </row>
    <row r="19" spans="1:72">
      <c r="A19" s="357" t="s">
        <v>744</v>
      </c>
      <c r="B19" s="357" t="s">
        <v>745</v>
      </c>
      <c r="C19" s="91"/>
      <c r="D19" s="358">
        <v>119</v>
      </c>
      <c r="E19" s="358">
        <v>2269609</v>
      </c>
      <c r="F19" s="359">
        <v>6833.39</v>
      </c>
      <c r="G19" s="357" t="s">
        <v>744</v>
      </c>
      <c r="H19" s="357" t="s">
        <v>745</v>
      </c>
      <c r="I19" s="91"/>
      <c r="J19" s="358">
        <v>123</v>
      </c>
      <c r="K19" s="358">
        <v>2378558</v>
      </c>
      <c r="L19" s="359">
        <v>7112.76</v>
      </c>
      <c r="M19" s="357" t="s">
        <v>744</v>
      </c>
      <c r="N19" s="357" t="s">
        <v>745</v>
      </c>
      <c r="O19" s="91"/>
      <c r="P19" s="358">
        <v>122</v>
      </c>
      <c r="Q19" s="358">
        <v>2222672</v>
      </c>
      <c r="R19" s="359">
        <v>6804.69</v>
      </c>
      <c r="S19" s="357" t="s">
        <v>744</v>
      </c>
      <c r="T19" s="357" t="s">
        <v>745</v>
      </c>
      <c r="U19" s="91"/>
      <c r="V19" s="358">
        <v>119</v>
      </c>
      <c r="W19" s="358">
        <v>2248871</v>
      </c>
      <c r="X19" s="359">
        <v>6433.02</v>
      </c>
      <c r="Y19" s="357" t="s">
        <v>744</v>
      </c>
      <c r="Z19" s="357" t="s">
        <v>745</v>
      </c>
      <c r="AA19" s="91"/>
      <c r="AB19" s="358">
        <v>121</v>
      </c>
      <c r="AC19" s="358">
        <v>2180416</v>
      </c>
      <c r="AD19" s="359">
        <v>6386.1</v>
      </c>
      <c r="AE19" s="357" t="s">
        <v>744</v>
      </c>
      <c r="AF19" s="357" t="s">
        <v>745</v>
      </c>
      <c r="AG19" s="91"/>
      <c r="AH19" s="358">
        <v>119</v>
      </c>
      <c r="AI19" s="358">
        <v>2559952</v>
      </c>
      <c r="AJ19" s="359">
        <v>6681.64</v>
      </c>
      <c r="AK19" s="365" t="s">
        <v>744</v>
      </c>
      <c r="AL19" s="365" t="s">
        <v>745</v>
      </c>
      <c r="AM19" s="347"/>
      <c r="AN19" s="366">
        <v>119</v>
      </c>
      <c r="AO19" s="366">
        <v>2318767</v>
      </c>
      <c r="AP19" s="367">
        <v>6266.43</v>
      </c>
      <c r="AQ19" s="365" t="s">
        <v>744</v>
      </c>
      <c r="AR19" s="365" t="s">
        <v>745</v>
      </c>
      <c r="AS19" s="347"/>
      <c r="AT19" s="366">
        <v>120</v>
      </c>
      <c r="AU19" s="366">
        <v>2425539</v>
      </c>
      <c r="AV19" s="367">
        <v>6675.62</v>
      </c>
      <c r="AW19" s="365" t="s">
        <v>744</v>
      </c>
      <c r="AX19" s="365" t="s">
        <v>745</v>
      </c>
      <c r="AY19" s="347"/>
      <c r="AZ19" s="366">
        <v>122</v>
      </c>
      <c r="BA19" s="366">
        <v>2676124</v>
      </c>
      <c r="BB19" s="367">
        <v>6579.59</v>
      </c>
      <c r="BC19" s="365" t="s">
        <v>744</v>
      </c>
      <c r="BD19" s="365" t="s">
        <v>745</v>
      </c>
      <c r="BE19" s="347"/>
      <c r="BF19" s="366">
        <v>98</v>
      </c>
      <c r="BG19" s="366">
        <v>2064107</v>
      </c>
      <c r="BH19" s="367">
        <v>5588.36</v>
      </c>
      <c r="BI19" s="365" t="s">
        <v>744</v>
      </c>
      <c r="BJ19" s="365" t="s">
        <v>745</v>
      </c>
      <c r="BK19" s="347"/>
      <c r="BL19" s="366">
        <v>98</v>
      </c>
      <c r="BM19" s="366">
        <v>1858279</v>
      </c>
      <c r="BN19" s="367">
        <v>5459.44</v>
      </c>
      <c r="BO19" s="365" t="s">
        <v>744</v>
      </c>
      <c r="BP19" s="365" t="s">
        <v>745</v>
      </c>
      <c r="BQ19" s="347"/>
      <c r="BR19" s="366">
        <v>95</v>
      </c>
      <c r="BS19" s="366">
        <v>1674123</v>
      </c>
      <c r="BT19" s="367">
        <v>4597.7299999999996</v>
      </c>
    </row>
    <row r="20" spans="1:72">
      <c r="A20" s="357" t="s">
        <v>746</v>
      </c>
      <c r="B20" s="357" t="s">
        <v>747</v>
      </c>
      <c r="C20" s="91"/>
      <c r="D20" s="358">
        <v>11</v>
      </c>
      <c r="E20" s="358">
        <v>894816</v>
      </c>
      <c r="F20" s="359">
        <v>2085.79</v>
      </c>
      <c r="G20" s="357" t="s">
        <v>746</v>
      </c>
      <c r="H20" s="357" t="s">
        <v>747</v>
      </c>
      <c r="I20" s="91"/>
      <c r="J20" s="358">
        <v>11</v>
      </c>
      <c r="K20" s="358">
        <v>921216</v>
      </c>
      <c r="L20" s="359">
        <v>2129.19</v>
      </c>
      <c r="M20" s="357" t="s">
        <v>746</v>
      </c>
      <c r="N20" s="357" t="s">
        <v>747</v>
      </c>
      <c r="O20" s="91"/>
      <c r="P20" s="358">
        <v>11</v>
      </c>
      <c r="Q20" s="358">
        <v>785184</v>
      </c>
      <c r="R20" s="359">
        <v>1984.81</v>
      </c>
      <c r="S20" s="357" t="s">
        <v>746</v>
      </c>
      <c r="T20" s="357" t="s">
        <v>747</v>
      </c>
      <c r="U20" s="91"/>
      <c r="V20" s="358">
        <v>11</v>
      </c>
      <c r="W20" s="358">
        <v>818016</v>
      </c>
      <c r="X20" s="359">
        <v>1866.14</v>
      </c>
      <c r="Y20" s="357" t="s">
        <v>746</v>
      </c>
      <c r="Z20" s="357" t="s">
        <v>747</v>
      </c>
      <c r="AA20" s="91"/>
      <c r="AB20" s="358">
        <v>11</v>
      </c>
      <c r="AC20" s="358">
        <v>740640</v>
      </c>
      <c r="AD20" s="359">
        <v>1748.55</v>
      </c>
      <c r="AE20" s="357" t="s">
        <v>746</v>
      </c>
      <c r="AF20" s="357" t="s">
        <v>747</v>
      </c>
      <c r="AG20" s="91"/>
      <c r="AH20" s="358">
        <v>11</v>
      </c>
      <c r="AI20" s="358">
        <v>972672</v>
      </c>
      <c r="AJ20" s="359">
        <v>2035.69</v>
      </c>
      <c r="AK20" s="365" t="s">
        <v>746</v>
      </c>
      <c r="AL20" s="365" t="s">
        <v>747</v>
      </c>
      <c r="AM20" s="347"/>
      <c r="AN20" s="366">
        <v>11</v>
      </c>
      <c r="AO20" s="366">
        <v>725376</v>
      </c>
      <c r="AP20" s="367">
        <v>2004.39</v>
      </c>
      <c r="AQ20" s="365" t="s">
        <v>746</v>
      </c>
      <c r="AR20" s="365" t="s">
        <v>747</v>
      </c>
      <c r="AS20" s="347"/>
      <c r="AT20" s="366">
        <v>11</v>
      </c>
      <c r="AU20" s="366">
        <v>791136</v>
      </c>
      <c r="AV20" s="367">
        <v>2034.43</v>
      </c>
      <c r="AW20" s="365" t="s">
        <v>746</v>
      </c>
      <c r="AX20" s="365" t="s">
        <v>747</v>
      </c>
      <c r="AY20" s="347"/>
      <c r="AZ20" s="366">
        <v>11</v>
      </c>
      <c r="BA20" s="366">
        <v>956736</v>
      </c>
      <c r="BB20" s="367">
        <v>2037.5</v>
      </c>
      <c r="BC20" s="365" t="s">
        <v>746</v>
      </c>
      <c r="BD20" s="365" t="s">
        <v>747</v>
      </c>
      <c r="BE20" s="347"/>
      <c r="BF20" s="366">
        <v>12</v>
      </c>
      <c r="BG20" s="366">
        <v>954336</v>
      </c>
      <c r="BH20" s="367">
        <v>2242.38</v>
      </c>
      <c r="BI20" s="365" t="s">
        <v>746</v>
      </c>
      <c r="BJ20" s="365" t="s">
        <v>747</v>
      </c>
      <c r="BK20" s="347"/>
      <c r="BL20" s="366">
        <v>12</v>
      </c>
      <c r="BM20" s="366">
        <v>971136</v>
      </c>
      <c r="BN20" s="367">
        <v>2393.85</v>
      </c>
      <c r="BO20" s="365" t="s">
        <v>746</v>
      </c>
      <c r="BP20" s="365" t="s">
        <v>747</v>
      </c>
      <c r="BQ20" s="347"/>
      <c r="BR20" s="366">
        <v>22</v>
      </c>
      <c r="BS20" s="366">
        <v>1907769</v>
      </c>
      <c r="BT20" s="367">
        <v>3999.17</v>
      </c>
    </row>
    <row r="21" spans="1:72">
      <c r="A21" s="357" t="s">
        <v>748</v>
      </c>
      <c r="B21" s="357" t="s">
        <v>749</v>
      </c>
      <c r="C21" s="91"/>
      <c r="D21" s="358">
        <v>548</v>
      </c>
      <c r="E21" s="358">
        <v>947231</v>
      </c>
      <c r="F21" s="359">
        <v>2589.54</v>
      </c>
      <c r="G21" s="357" t="s">
        <v>748</v>
      </c>
      <c r="H21" s="357" t="s">
        <v>749</v>
      </c>
      <c r="I21" s="91"/>
      <c r="J21" s="358">
        <v>543</v>
      </c>
      <c r="K21" s="358">
        <v>989458</v>
      </c>
      <c r="L21" s="359">
        <v>2456.0300000000002</v>
      </c>
      <c r="M21" s="357" t="s">
        <v>748</v>
      </c>
      <c r="N21" s="357" t="s">
        <v>749</v>
      </c>
      <c r="O21" s="91"/>
      <c r="P21" s="358">
        <v>546</v>
      </c>
      <c r="Q21" s="358">
        <v>1022905</v>
      </c>
      <c r="R21" s="359">
        <v>2388.5300000000002</v>
      </c>
      <c r="S21" s="357" t="s">
        <v>748</v>
      </c>
      <c r="T21" s="357" t="s">
        <v>749</v>
      </c>
      <c r="U21" s="91"/>
      <c r="V21" s="358">
        <v>546</v>
      </c>
      <c r="W21" s="358">
        <v>757363</v>
      </c>
      <c r="X21" s="359">
        <v>2382.04</v>
      </c>
      <c r="Y21" s="357" t="s">
        <v>748</v>
      </c>
      <c r="Z21" s="357" t="s">
        <v>749</v>
      </c>
      <c r="AA21" s="91"/>
      <c r="AB21" s="358">
        <v>541</v>
      </c>
      <c r="AC21" s="358">
        <v>778554</v>
      </c>
      <c r="AD21" s="359">
        <v>2263.4299999999998</v>
      </c>
      <c r="AE21" s="357" t="s">
        <v>748</v>
      </c>
      <c r="AF21" s="357" t="s">
        <v>749</v>
      </c>
      <c r="AG21" s="91"/>
      <c r="AH21" s="358">
        <v>552</v>
      </c>
      <c r="AI21" s="358">
        <v>903415</v>
      </c>
      <c r="AJ21" s="359">
        <v>2852.01</v>
      </c>
      <c r="AK21" s="365" t="s">
        <v>748</v>
      </c>
      <c r="AL21" s="365" t="s">
        <v>749</v>
      </c>
      <c r="AM21" s="347"/>
      <c r="AN21" s="366">
        <v>547</v>
      </c>
      <c r="AO21" s="366">
        <v>966044</v>
      </c>
      <c r="AP21" s="367">
        <v>3036.08</v>
      </c>
      <c r="AQ21" s="365" t="s">
        <v>748</v>
      </c>
      <c r="AR21" s="365" t="s">
        <v>749</v>
      </c>
      <c r="AS21" s="347"/>
      <c r="AT21" s="366">
        <v>549</v>
      </c>
      <c r="AU21" s="366">
        <v>1232542</v>
      </c>
      <c r="AV21" s="367">
        <v>3253.9</v>
      </c>
      <c r="AW21" s="365" t="s">
        <v>748</v>
      </c>
      <c r="AX21" s="365" t="s">
        <v>749</v>
      </c>
      <c r="AY21" s="347"/>
      <c r="AZ21" s="366">
        <v>546</v>
      </c>
      <c r="BA21" s="366">
        <v>887061</v>
      </c>
      <c r="BB21" s="367">
        <v>2054.17</v>
      </c>
      <c r="BC21" s="365" t="s">
        <v>748</v>
      </c>
      <c r="BD21" s="365" t="s">
        <v>749</v>
      </c>
      <c r="BE21" s="347"/>
      <c r="BF21" s="366">
        <v>568</v>
      </c>
      <c r="BG21" s="366">
        <v>870019</v>
      </c>
      <c r="BH21" s="367">
        <v>2295.44</v>
      </c>
      <c r="BI21" s="365" t="s">
        <v>748</v>
      </c>
      <c r="BJ21" s="365" t="s">
        <v>749</v>
      </c>
      <c r="BK21" s="347"/>
      <c r="BL21" s="366">
        <v>568</v>
      </c>
      <c r="BM21" s="366">
        <v>814795</v>
      </c>
      <c r="BN21" s="367">
        <v>2488.65</v>
      </c>
      <c r="BO21" s="365" t="s">
        <v>748</v>
      </c>
      <c r="BP21" s="365" t="s">
        <v>749</v>
      </c>
      <c r="BQ21" s="347"/>
      <c r="BR21" s="366">
        <v>563</v>
      </c>
      <c r="BS21" s="366">
        <v>1079205</v>
      </c>
      <c r="BT21" s="367">
        <v>2727.86</v>
      </c>
    </row>
    <row r="22" spans="1:72">
      <c r="A22" s="357" t="s">
        <v>750</v>
      </c>
      <c r="B22" s="357" t="s">
        <v>751</v>
      </c>
      <c r="C22" s="91"/>
      <c r="D22" s="358">
        <v>52</v>
      </c>
      <c r="E22" s="358">
        <v>10174</v>
      </c>
      <c r="F22" s="359">
        <v>0</v>
      </c>
      <c r="G22" s="357" t="s">
        <v>750</v>
      </c>
      <c r="H22" s="357" t="s">
        <v>751</v>
      </c>
      <c r="I22" s="91"/>
      <c r="J22" s="358">
        <v>52</v>
      </c>
      <c r="K22" s="358">
        <v>10194</v>
      </c>
      <c r="L22" s="359">
        <v>0</v>
      </c>
      <c r="M22" s="357" t="s">
        <v>750</v>
      </c>
      <c r="N22" s="357" t="s">
        <v>751</v>
      </c>
      <c r="O22" s="91"/>
      <c r="P22" s="358">
        <v>52</v>
      </c>
      <c r="Q22" s="358">
        <v>10239</v>
      </c>
      <c r="R22" s="359">
        <v>0</v>
      </c>
      <c r="S22" s="357" t="s">
        <v>750</v>
      </c>
      <c r="T22" s="357" t="s">
        <v>751</v>
      </c>
      <c r="U22" s="91"/>
      <c r="V22" s="358">
        <v>52</v>
      </c>
      <c r="W22" s="358">
        <v>10239</v>
      </c>
      <c r="X22" s="359">
        <v>0</v>
      </c>
      <c r="Y22" s="357" t="s">
        <v>750</v>
      </c>
      <c r="Z22" s="357" t="s">
        <v>751</v>
      </c>
      <c r="AA22" s="91"/>
      <c r="AB22" s="358">
        <v>52</v>
      </c>
      <c r="AC22" s="358">
        <v>10239</v>
      </c>
      <c r="AD22" s="359">
        <v>0</v>
      </c>
      <c r="AE22" s="357" t="s">
        <v>750</v>
      </c>
      <c r="AF22" s="357" t="s">
        <v>751</v>
      </c>
      <c r="AG22" s="91"/>
      <c r="AH22" s="358">
        <v>52</v>
      </c>
      <c r="AI22" s="358">
        <v>10239</v>
      </c>
      <c r="AJ22" s="359">
        <v>0</v>
      </c>
      <c r="AK22" s="365" t="s">
        <v>750</v>
      </c>
      <c r="AL22" s="365" t="s">
        <v>751</v>
      </c>
      <c r="AM22" s="347"/>
      <c r="AN22" s="366">
        <v>52</v>
      </c>
      <c r="AO22" s="366">
        <v>10239</v>
      </c>
      <c r="AP22" s="367">
        <v>0</v>
      </c>
      <c r="AQ22" s="365" t="s">
        <v>750</v>
      </c>
      <c r="AR22" s="365" t="s">
        <v>751</v>
      </c>
      <c r="AS22" s="347"/>
      <c r="AT22" s="366">
        <v>52</v>
      </c>
      <c r="AU22" s="366">
        <v>10239</v>
      </c>
      <c r="AV22" s="367">
        <v>0</v>
      </c>
      <c r="AW22" s="365" t="s">
        <v>750</v>
      </c>
      <c r="AX22" s="365" t="s">
        <v>751</v>
      </c>
      <c r="AY22" s="347"/>
      <c r="AZ22" s="366">
        <v>52</v>
      </c>
      <c r="BA22" s="366">
        <v>10239</v>
      </c>
      <c r="BB22" s="367">
        <v>0</v>
      </c>
      <c r="BC22" s="365" t="s">
        <v>750</v>
      </c>
      <c r="BD22" s="365" t="s">
        <v>751</v>
      </c>
      <c r="BE22" s="347"/>
      <c r="BF22" s="366">
        <v>52</v>
      </c>
      <c r="BG22" s="366">
        <v>10239</v>
      </c>
      <c r="BH22" s="367">
        <v>0</v>
      </c>
      <c r="BI22" s="365" t="s">
        <v>750</v>
      </c>
      <c r="BJ22" s="365" t="s">
        <v>751</v>
      </c>
      <c r="BK22" s="347"/>
      <c r="BL22" s="366">
        <v>52</v>
      </c>
      <c r="BM22" s="366">
        <v>10239</v>
      </c>
      <c r="BN22" s="367">
        <v>0</v>
      </c>
      <c r="BO22" s="365" t="s">
        <v>750</v>
      </c>
      <c r="BP22" s="365" t="s">
        <v>751</v>
      </c>
      <c r="BQ22" s="347"/>
      <c r="BR22" s="366">
        <v>52</v>
      </c>
      <c r="BS22" s="366">
        <v>10239</v>
      </c>
      <c r="BT22" s="367">
        <v>0</v>
      </c>
    </row>
    <row r="23" spans="1:72">
      <c r="A23" s="357" t="s">
        <v>752</v>
      </c>
      <c r="B23" s="357" t="s">
        <v>753</v>
      </c>
      <c r="C23" s="91"/>
      <c r="D23" s="358">
        <v>2</v>
      </c>
      <c r="E23" s="358">
        <v>959830</v>
      </c>
      <c r="F23" s="359">
        <v>1880.22</v>
      </c>
      <c r="G23" s="357" t="s">
        <v>752</v>
      </c>
      <c r="H23" s="357" t="s">
        <v>753</v>
      </c>
      <c r="I23" s="91"/>
      <c r="J23" s="358">
        <v>2</v>
      </c>
      <c r="K23" s="358">
        <v>953950</v>
      </c>
      <c r="L23" s="359">
        <v>1899.96</v>
      </c>
      <c r="M23" s="357" t="s">
        <v>752</v>
      </c>
      <c r="N23" s="357" t="s">
        <v>753</v>
      </c>
      <c r="O23" s="91"/>
      <c r="P23" s="358">
        <v>2</v>
      </c>
      <c r="Q23" s="358">
        <v>922750</v>
      </c>
      <c r="R23" s="359">
        <v>1784.1</v>
      </c>
      <c r="S23" s="357" t="s">
        <v>752</v>
      </c>
      <c r="T23" s="357" t="s">
        <v>753</v>
      </c>
      <c r="U23" s="91"/>
      <c r="V23" s="358">
        <v>2</v>
      </c>
      <c r="W23" s="358">
        <v>943150</v>
      </c>
      <c r="X23" s="359">
        <v>1875.06</v>
      </c>
      <c r="Y23" s="357" t="s">
        <v>752</v>
      </c>
      <c r="Z23" s="357" t="s">
        <v>753</v>
      </c>
      <c r="AA23" s="91"/>
      <c r="AB23" s="358">
        <v>2</v>
      </c>
      <c r="AC23" s="358">
        <v>965350</v>
      </c>
      <c r="AD23" s="359">
        <v>1918.2</v>
      </c>
      <c r="AE23" s="357" t="s">
        <v>752</v>
      </c>
      <c r="AF23" s="357" t="s">
        <v>753</v>
      </c>
      <c r="AG23" s="91"/>
      <c r="AH23" s="358">
        <v>2</v>
      </c>
      <c r="AI23" s="358">
        <v>1036390</v>
      </c>
      <c r="AJ23" s="359">
        <v>2094.96</v>
      </c>
      <c r="AK23" s="365" t="s">
        <v>752</v>
      </c>
      <c r="AL23" s="365" t="s">
        <v>753</v>
      </c>
      <c r="AM23" s="347"/>
      <c r="AN23" s="366">
        <v>2</v>
      </c>
      <c r="AO23" s="366">
        <v>980590</v>
      </c>
      <c r="AP23" s="367">
        <v>2077.6799999999998</v>
      </c>
      <c r="AQ23" s="365" t="s">
        <v>752</v>
      </c>
      <c r="AR23" s="365" t="s">
        <v>753</v>
      </c>
      <c r="AS23" s="347"/>
      <c r="AT23" s="366">
        <v>2</v>
      </c>
      <c r="AU23" s="366">
        <v>1107190</v>
      </c>
      <c r="AV23" s="367">
        <v>2133.36</v>
      </c>
      <c r="AW23" s="365" t="s">
        <v>752</v>
      </c>
      <c r="AX23" s="365" t="s">
        <v>753</v>
      </c>
      <c r="AY23" s="347"/>
      <c r="AZ23" s="366">
        <v>2</v>
      </c>
      <c r="BA23" s="366">
        <v>1037110</v>
      </c>
      <c r="BB23" s="367">
        <v>2031.36</v>
      </c>
      <c r="BC23" s="365" t="s">
        <v>752</v>
      </c>
      <c r="BD23" s="365" t="s">
        <v>753</v>
      </c>
      <c r="BE23" s="347"/>
      <c r="BF23" s="366">
        <v>2</v>
      </c>
      <c r="BG23" s="366">
        <v>1047000</v>
      </c>
      <c r="BH23" s="367">
        <v>2007.42</v>
      </c>
      <c r="BI23" s="365" t="s">
        <v>752</v>
      </c>
      <c r="BJ23" s="365" t="s">
        <v>753</v>
      </c>
      <c r="BK23" s="347"/>
      <c r="BL23" s="366">
        <v>2</v>
      </c>
      <c r="BM23" s="366">
        <v>948120</v>
      </c>
      <c r="BN23" s="367">
        <v>1933.74</v>
      </c>
      <c r="BO23" s="365" t="s">
        <v>752</v>
      </c>
      <c r="BP23" s="365" t="s">
        <v>753</v>
      </c>
      <c r="BQ23" s="347"/>
      <c r="BR23" s="366">
        <v>2</v>
      </c>
      <c r="BS23" s="366">
        <v>1040160</v>
      </c>
      <c r="BT23" s="367">
        <v>1857.06</v>
      </c>
    </row>
    <row r="24" spans="1:72">
      <c r="A24" s="357" t="s">
        <v>754</v>
      </c>
      <c r="B24" s="357" t="s">
        <v>755</v>
      </c>
      <c r="C24" s="91"/>
      <c r="D24" s="358">
        <v>47</v>
      </c>
      <c r="E24" s="358">
        <v>248595</v>
      </c>
      <c r="F24" s="359">
        <v>469.11</v>
      </c>
      <c r="G24" s="357" t="s">
        <v>754</v>
      </c>
      <c r="H24" s="357" t="s">
        <v>755</v>
      </c>
      <c r="I24" s="91"/>
      <c r="J24" s="358">
        <v>47</v>
      </c>
      <c r="K24" s="358">
        <v>231347</v>
      </c>
      <c r="L24" s="359">
        <v>466.87</v>
      </c>
      <c r="M24" s="357" t="s">
        <v>754</v>
      </c>
      <c r="N24" s="357" t="s">
        <v>755</v>
      </c>
      <c r="O24" s="91"/>
      <c r="P24" s="358">
        <v>47</v>
      </c>
      <c r="Q24" s="358">
        <v>220829</v>
      </c>
      <c r="R24" s="359">
        <v>465.64</v>
      </c>
      <c r="S24" s="357" t="s">
        <v>754</v>
      </c>
      <c r="T24" s="357" t="s">
        <v>755</v>
      </c>
      <c r="U24" s="91"/>
      <c r="V24" s="358">
        <v>46</v>
      </c>
      <c r="W24" s="358">
        <v>223653</v>
      </c>
      <c r="X24" s="359">
        <v>456.13</v>
      </c>
      <c r="Y24" s="357" t="s">
        <v>754</v>
      </c>
      <c r="Z24" s="357" t="s">
        <v>755</v>
      </c>
      <c r="AA24" s="91"/>
      <c r="AB24" s="358">
        <v>44</v>
      </c>
      <c r="AC24" s="358">
        <v>213372</v>
      </c>
      <c r="AD24" s="359">
        <v>481.36</v>
      </c>
      <c r="AE24" s="357" t="s">
        <v>754</v>
      </c>
      <c r="AF24" s="357" t="s">
        <v>755</v>
      </c>
      <c r="AG24" s="91"/>
      <c r="AH24" s="358">
        <v>44</v>
      </c>
      <c r="AI24" s="358">
        <v>254775</v>
      </c>
      <c r="AJ24" s="359">
        <v>546.63</v>
      </c>
      <c r="AK24" s="365" t="s">
        <v>754</v>
      </c>
      <c r="AL24" s="365" t="s">
        <v>755</v>
      </c>
      <c r="AM24" s="347"/>
      <c r="AN24" s="366">
        <v>45</v>
      </c>
      <c r="AO24" s="366">
        <v>242329</v>
      </c>
      <c r="AP24" s="367">
        <v>523.86</v>
      </c>
      <c r="AQ24" s="365" t="s">
        <v>754</v>
      </c>
      <c r="AR24" s="365" t="s">
        <v>755</v>
      </c>
      <c r="AS24" s="347"/>
      <c r="AT24" s="366">
        <v>45</v>
      </c>
      <c r="AU24" s="366">
        <v>237446</v>
      </c>
      <c r="AV24" s="367">
        <v>522.83000000000004</v>
      </c>
      <c r="AW24" s="365" t="s">
        <v>754</v>
      </c>
      <c r="AX24" s="365" t="s">
        <v>755</v>
      </c>
      <c r="AY24" s="347"/>
      <c r="AZ24" s="366">
        <v>45</v>
      </c>
      <c r="BA24" s="366">
        <v>242656</v>
      </c>
      <c r="BB24" s="367">
        <v>521.27</v>
      </c>
      <c r="BC24" s="365" t="s">
        <v>754</v>
      </c>
      <c r="BD24" s="365" t="s">
        <v>755</v>
      </c>
      <c r="BE24" s="347"/>
      <c r="BF24" s="366">
        <v>45</v>
      </c>
      <c r="BG24" s="366">
        <v>227428</v>
      </c>
      <c r="BH24" s="367">
        <v>472.83</v>
      </c>
      <c r="BI24" s="365" t="s">
        <v>754</v>
      </c>
      <c r="BJ24" s="365" t="s">
        <v>755</v>
      </c>
      <c r="BK24" s="347"/>
      <c r="BL24" s="366">
        <v>45</v>
      </c>
      <c r="BM24" s="366">
        <v>212117</v>
      </c>
      <c r="BN24" s="367">
        <v>481.15</v>
      </c>
      <c r="BO24" s="365" t="s">
        <v>754</v>
      </c>
      <c r="BP24" s="365" t="s">
        <v>755</v>
      </c>
      <c r="BQ24" s="347"/>
      <c r="BR24" s="366">
        <v>45</v>
      </c>
      <c r="BS24" s="366">
        <v>248744</v>
      </c>
      <c r="BT24" s="367">
        <v>504.54</v>
      </c>
    </row>
    <row r="25" spans="1:72">
      <c r="A25" s="357" t="s">
        <v>756</v>
      </c>
      <c r="B25" s="357" t="s">
        <v>757</v>
      </c>
      <c r="C25" s="91"/>
      <c r="D25" s="358">
        <v>9</v>
      </c>
      <c r="E25" s="358">
        <v>42205</v>
      </c>
      <c r="F25" s="359">
        <v>119.39</v>
      </c>
      <c r="G25" s="357" t="s">
        <v>756</v>
      </c>
      <c r="H25" s="357" t="s">
        <v>757</v>
      </c>
      <c r="I25" s="91"/>
      <c r="J25" s="358">
        <v>9</v>
      </c>
      <c r="K25" s="358">
        <v>34556</v>
      </c>
      <c r="L25" s="359">
        <v>112.39</v>
      </c>
      <c r="M25" s="357" t="s">
        <v>756</v>
      </c>
      <c r="N25" s="357" t="s">
        <v>757</v>
      </c>
      <c r="O25" s="91"/>
      <c r="P25" s="358">
        <v>9</v>
      </c>
      <c r="Q25" s="358">
        <v>30210</v>
      </c>
      <c r="R25" s="359">
        <v>103.53</v>
      </c>
      <c r="S25" s="357" t="s">
        <v>756</v>
      </c>
      <c r="T25" s="357" t="s">
        <v>757</v>
      </c>
      <c r="U25" s="91"/>
      <c r="V25" s="358">
        <v>9</v>
      </c>
      <c r="W25" s="358">
        <v>32607</v>
      </c>
      <c r="X25" s="359">
        <v>102.03</v>
      </c>
      <c r="Y25" s="357" t="s">
        <v>756</v>
      </c>
      <c r="Z25" s="357" t="s">
        <v>757</v>
      </c>
      <c r="AA25" s="91"/>
      <c r="AB25" s="358">
        <v>9</v>
      </c>
      <c r="AC25" s="358">
        <v>28438</v>
      </c>
      <c r="AD25" s="359">
        <v>115.71</v>
      </c>
      <c r="AE25" s="357" t="s">
        <v>756</v>
      </c>
      <c r="AF25" s="357" t="s">
        <v>757</v>
      </c>
      <c r="AG25" s="91"/>
      <c r="AH25" s="358">
        <v>9</v>
      </c>
      <c r="AI25" s="358">
        <v>28584</v>
      </c>
      <c r="AJ25" s="359">
        <v>114.63</v>
      </c>
      <c r="AK25" s="365" t="s">
        <v>756</v>
      </c>
      <c r="AL25" s="365" t="s">
        <v>757</v>
      </c>
      <c r="AM25" s="347"/>
      <c r="AN25" s="366">
        <v>9</v>
      </c>
      <c r="AO25" s="366">
        <v>30726</v>
      </c>
      <c r="AP25" s="367">
        <v>110.41</v>
      </c>
      <c r="AQ25" s="365" t="s">
        <v>756</v>
      </c>
      <c r="AR25" s="365" t="s">
        <v>757</v>
      </c>
      <c r="AS25" s="347"/>
      <c r="AT25" s="366">
        <v>9</v>
      </c>
      <c r="AU25" s="366">
        <v>26975</v>
      </c>
      <c r="AV25" s="367">
        <v>107.18</v>
      </c>
      <c r="AW25" s="365" t="s">
        <v>756</v>
      </c>
      <c r="AX25" s="365" t="s">
        <v>757</v>
      </c>
      <c r="AY25" s="347"/>
      <c r="AZ25" s="366">
        <v>9</v>
      </c>
      <c r="BA25" s="366">
        <v>33099</v>
      </c>
      <c r="BB25" s="367">
        <v>106.7</v>
      </c>
      <c r="BC25" s="365" t="s">
        <v>756</v>
      </c>
      <c r="BD25" s="365" t="s">
        <v>757</v>
      </c>
      <c r="BE25" s="347"/>
      <c r="BF25" s="366">
        <v>9</v>
      </c>
      <c r="BG25" s="366">
        <v>31381</v>
      </c>
      <c r="BH25" s="367">
        <v>107.91</v>
      </c>
      <c r="BI25" s="365" t="s">
        <v>756</v>
      </c>
      <c r="BJ25" s="365" t="s">
        <v>757</v>
      </c>
      <c r="BK25" s="347"/>
      <c r="BL25" s="366">
        <v>9</v>
      </c>
      <c r="BM25" s="366">
        <v>29875</v>
      </c>
      <c r="BN25" s="367">
        <v>116.87</v>
      </c>
      <c r="BO25" s="365" t="s">
        <v>756</v>
      </c>
      <c r="BP25" s="365" t="s">
        <v>757</v>
      </c>
      <c r="BQ25" s="347"/>
      <c r="BR25" s="366">
        <v>9</v>
      </c>
      <c r="BS25" s="366">
        <v>43227</v>
      </c>
      <c r="BT25" s="367">
        <v>136.76</v>
      </c>
    </row>
    <row r="26" spans="1:72">
      <c r="A26" s="357" t="s">
        <v>758</v>
      </c>
      <c r="B26" s="357" t="s">
        <v>759</v>
      </c>
      <c r="C26" s="91"/>
      <c r="D26" s="358">
        <v>15</v>
      </c>
      <c r="E26" s="358">
        <v>243806</v>
      </c>
      <c r="F26" s="359">
        <v>1160.1600000000001</v>
      </c>
      <c r="G26" s="357" t="s">
        <v>758</v>
      </c>
      <c r="H26" s="357" t="s">
        <v>759</v>
      </c>
      <c r="I26" s="91"/>
      <c r="J26" s="358">
        <v>15</v>
      </c>
      <c r="K26" s="358">
        <v>275588</v>
      </c>
      <c r="L26" s="359">
        <v>1096.24</v>
      </c>
      <c r="M26" s="357" t="s">
        <v>758</v>
      </c>
      <c r="N26" s="357" t="s">
        <v>759</v>
      </c>
      <c r="O26" s="91"/>
      <c r="P26" s="358">
        <v>15</v>
      </c>
      <c r="Q26" s="358">
        <v>282807</v>
      </c>
      <c r="R26" s="359">
        <v>1296.72</v>
      </c>
      <c r="S26" s="357" t="s">
        <v>758</v>
      </c>
      <c r="T26" s="357" t="s">
        <v>759</v>
      </c>
      <c r="U26" s="91"/>
      <c r="V26" s="358">
        <v>15</v>
      </c>
      <c r="W26" s="358">
        <v>279803</v>
      </c>
      <c r="X26" s="359">
        <v>1471.12</v>
      </c>
      <c r="Y26" s="357" t="s">
        <v>758</v>
      </c>
      <c r="Z26" s="357" t="s">
        <v>759</v>
      </c>
      <c r="AA26" s="91"/>
      <c r="AB26" s="358">
        <v>15</v>
      </c>
      <c r="AC26" s="358">
        <v>326898</v>
      </c>
      <c r="AD26" s="359">
        <v>1600.48</v>
      </c>
      <c r="AE26" s="357" t="s">
        <v>758</v>
      </c>
      <c r="AF26" s="357" t="s">
        <v>759</v>
      </c>
      <c r="AG26" s="91"/>
      <c r="AH26" s="358">
        <v>16</v>
      </c>
      <c r="AI26" s="358">
        <v>322470</v>
      </c>
      <c r="AJ26" s="359">
        <v>1655.36</v>
      </c>
      <c r="AK26" s="365" t="s">
        <v>758</v>
      </c>
      <c r="AL26" s="365" t="s">
        <v>759</v>
      </c>
      <c r="AM26" s="347"/>
      <c r="AN26" s="366">
        <v>16</v>
      </c>
      <c r="AO26" s="366">
        <v>208439</v>
      </c>
      <c r="AP26" s="367">
        <v>1106.6400000000001</v>
      </c>
      <c r="AQ26" s="365" t="s">
        <v>758</v>
      </c>
      <c r="AR26" s="365" t="s">
        <v>759</v>
      </c>
      <c r="AS26" s="347"/>
      <c r="AT26" s="366">
        <v>16</v>
      </c>
      <c r="AU26" s="366">
        <v>221117</v>
      </c>
      <c r="AV26" s="367">
        <v>965.92</v>
      </c>
      <c r="AW26" s="365" t="s">
        <v>758</v>
      </c>
      <c r="AX26" s="365" t="s">
        <v>759</v>
      </c>
      <c r="AY26" s="347"/>
      <c r="AZ26" s="366">
        <v>16</v>
      </c>
      <c r="BA26" s="366">
        <v>392925</v>
      </c>
      <c r="BB26" s="367">
        <v>1914.32</v>
      </c>
      <c r="BC26" s="365" t="s">
        <v>758</v>
      </c>
      <c r="BD26" s="365" t="s">
        <v>759</v>
      </c>
      <c r="BE26" s="347"/>
      <c r="BF26" s="366">
        <v>16</v>
      </c>
      <c r="BG26" s="366">
        <v>380201</v>
      </c>
      <c r="BH26" s="367">
        <v>1696.96</v>
      </c>
      <c r="BI26" s="365" t="s">
        <v>758</v>
      </c>
      <c r="BJ26" s="365" t="s">
        <v>759</v>
      </c>
      <c r="BK26" s="347"/>
      <c r="BL26" s="366">
        <v>16</v>
      </c>
      <c r="BM26" s="366">
        <v>320211</v>
      </c>
      <c r="BN26" s="367">
        <v>1566.64</v>
      </c>
      <c r="BO26" s="365" t="s">
        <v>758</v>
      </c>
      <c r="BP26" s="365" t="s">
        <v>759</v>
      </c>
      <c r="BQ26" s="347"/>
      <c r="BR26" s="366">
        <v>16</v>
      </c>
      <c r="BS26" s="366">
        <v>319336</v>
      </c>
      <c r="BT26" s="367">
        <v>1490.16</v>
      </c>
    </row>
    <row r="27" spans="1:72">
      <c r="A27" s="357" t="s">
        <v>760</v>
      </c>
      <c r="B27" s="357" t="s">
        <v>761</v>
      </c>
      <c r="C27" s="91"/>
      <c r="D27" s="358">
        <v>8</v>
      </c>
      <c r="E27" s="358">
        <v>13316</v>
      </c>
      <c r="F27" s="359">
        <v>50.7</v>
      </c>
      <c r="G27" s="357" t="s">
        <v>760</v>
      </c>
      <c r="H27" s="357" t="s">
        <v>761</v>
      </c>
      <c r="I27" s="91"/>
      <c r="J27" s="358">
        <v>8</v>
      </c>
      <c r="K27" s="358">
        <v>14731</v>
      </c>
      <c r="L27" s="359">
        <v>46.4</v>
      </c>
      <c r="M27" s="357" t="s">
        <v>760</v>
      </c>
      <c r="N27" s="357" t="s">
        <v>761</v>
      </c>
      <c r="O27" s="91"/>
      <c r="P27" s="358">
        <v>8</v>
      </c>
      <c r="Q27" s="358">
        <v>12691</v>
      </c>
      <c r="R27" s="359">
        <v>46.9</v>
      </c>
      <c r="S27" s="357" t="s">
        <v>760</v>
      </c>
      <c r="T27" s="357" t="s">
        <v>761</v>
      </c>
      <c r="U27" s="91"/>
      <c r="V27" s="358">
        <v>8</v>
      </c>
      <c r="W27" s="358">
        <v>11287</v>
      </c>
      <c r="X27" s="359">
        <v>51.1</v>
      </c>
      <c r="Y27" s="357" t="s">
        <v>760</v>
      </c>
      <c r="Z27" s="357" t="s">
        <v>761</v>
      </c>
      <c r="AA27" s="91"/>
      <c r="AB27" s="358">
        <v>8</v>
      </c>
      <c r="AC27" s="358">
        <v>7709</v>
      </c>
      <c r="AD27" s="359">
        <v>41.4</v>
      </c>
      <c r="AE27" s="357" t="s">
        <v>760</v>
      </c>
      <c r="AF27" s="357" t="s">
        <v>761</v>
      </c>
      <c r="AG27" s="91"/>
      <c r="AH27" s="358">
        <v>8</v>
      </c>
      <c r="AI27" s="358">
        <v>10612</v>
      </c>
      <c r="AJ27" s="359">
        <v>40.200000000000003</v>
      </c>
      <c r="AK27" s="365" t="s">
        <v>760</v>
      </c>
      <c r="AL27" s="365" t="s">
        <v>761</v>
      </c>
      <c r="AM27" s="347"/>
      <c r="AN27" s="366">
        <v>8</v>
      </c>
      <c r="AO27" s="366">
        <v>8213</v>
      </c>
      <c r="AP27" s="367">
        <v>39.4</v>
      </c>
      <c r="AQ27" s="365" t="s">
        <v>760</v>
      </c>
      <c r="AR27" s="365" t="s">
        <v>761</v>
      </c>
      <c r="AS27" s="347"/>
      <c r="AT27" s="366">
        <v>8</v>
      </c>
      <c r="AU27" s="366">
        <v>10512</v>
      </c>
      <c r="AV27" s="367">
        <v>38.9</v>
      </c>
      <c r="AW27" s="365" t="s">
        <v>760</v>
      </c>
      <c r="AX27" s="365" t="s">
        <v>761</v>
      </c>
      <c r="AY27" s="347"/>
      <c r="AZ27" s="366">
        <v>8</v>
      </c>
      <c r="BA27" s="366">
        <v>9522</v>
      </c>
      <c r="BB27" s="367">
        <v>37.9</v>
      </c>
      <c r="BC27" s="365" t="s">
        <v>760</v>
      </c>
      <c r="BD27" s="365" t="s">
        <v>761</v>
      </c>
      <c r="BE27" s="347"/>
      <c r="BF27" s="366">
        <v>7</v>
      </c>
      <c r="BG27" s="366">
        <v>4099</v>
      </c>
      <c r="BH27" s="367">
        <v>16</v>
      </c>
      <c r="BI27" s="365" t="s">
        <v>760</v>
      </c>
      <c r="BJ27" s="365" t="s">
        <v>761</v>
      </c>
      <c r="BK27" s="347"/>
      <c r="BL27" s="366">
        <v>7</v>
      </c>
      <c r="BM27" s="366">
        <v>6474</v>
      </c>
      <c r="BN27" s="367">
        <v>24.8</v>
      </c>
      <c r="BO27" s="365" t="s">
        <v>760</v>
      </c>
      <c r="BP27" s="365" t="s">
        <v>761</v>
      </c>
      <c r="BQ27" s="347"/>
      <c r="BR27" s="366">
        <v>7</v>
      </c>
      <c r="BS27" s="366">
        <v>10350</v>
      </c>
      <c r="BT27" s="367">
        <v>30.4</v>
      </c>
    </row>
    <row r="28" spans="1:72">
      <c r="A28" s="360" t="s">
        <v>56</v>
      </c>
      <c r="B28" s="91"/>
      <c r="C28" s="91"/>
      <c r="D28" s="358">
        <v>817</v>
      </c>
      <c r="E28" s="358">
        <v>6179310</v>
      </c>
      <c r="F28" s="359">
        <v>16317.18</v>
      </c>
      <c r="G28" s="360" t="s">
        <v>56</v>
      </c>
      <c r="H28" s="91"/>
      <c r="I28" s="91"/>
      <c r="J28" s="358">
        <v>816</v>
      </c>
      <c r="K28" s="358">
        <v>6358278</v>
      </c>
      <c r="L28" s="359">
        <v>16560.64</v>
      </c>
      <c r="M28" s="360" t="s">
        <v>56</v>
      </c>
      <c r="N28" s="91"/>
      <c r="O28" s="91"/>
      <c r="P28" s="358">
        <v>818</v>
      </c>
      <c r="Q28" s="358">
        <v>6047895</v>
      </c>
      <c r="R28" s="359">
        <v>16123.56</v>
      </c>
      <c r="S28" s="360" t="s">
        <v>56</v>
      </c>
      <c r="T28" s="91"/>
      <c r="U28" s="91"/>
      <c r="V28" s="358">
        <v>814</v>
      </c>
      <c r="W28" s="358">
        <v>5917381</v>
      </c>
      <c r="X28" s="359">
        <v>15962</v>
      </c>
      <c r="Y28" s="360" t="s">
        <v>56</v>
      </c>
      <c r="Z28" s="91"/>
      <c r="AA28" s="91"/>
      <c r="AB28" s="358">
        <v>809</v>
      </c>
      <c r="AC28" s="358">
        <v>5809368</v>
      </c>
      <c r="AD28" s="359">
        <v>15915.63</v>
      </c>
      <c r="AE28" s="360" t="s">
        <v>56</v>
      </c>
      <c r="AF28" s="91"/>
      <c r="AG28" s="91"/>
      <c r="AH28" s="358">
        <v>819</v>
      </c>
      <c r="AI28" s="358">
        <v>6700957</v>
      </c>
      <c r="AJ28" s="359">
        <v>17319.2</v>
      </c>
      <c r="AK28" s="368" t="s">
        <v>56</v>
      </c>
      <c r="AL28" s="347"/>
      <c r="AM28" s="347"/>
      <c r="AN28" s="366">
        <v>815</v>
      </c>
      <c r="AO28" s="366">
        <v>6065267</v>
      </c>
      <c r="AP28" s="367">
        <v>16408.650000000001</v>
      </c>
      <c r="AQ28" s="368" t="s">
        <v>56</v>
      </c>
      <c r="AR28" s="347"/>
      <c r="AS28" s="347"/>
      <c r="AT28" s="366">
        <v>818</v>
      </c>
      <c r="AU28" s="366">
        <v>6648744</v>
      </c>
      <c r="AV28" s="367">
        <v>17081.02</v>
      </c>
      <c r="AW28" s="368" t="s">
        <v>56</v>
      </c>
      <c r="AX28" s="347"/>
      <c r="AY28" s="347"/>
      <c r="AZ28" s="366">
        <v>817</v>
      </c>
      <c r="BA28" s="366">
        <v>6864392</v>
      </c>
      <c r="BB28" s="367">
        <v>16681.29</v>
      </c>
      <c r="BC28" s="368" t="s">
        <v>56</v>
      </c>
      <c r="BD28" s="347"/>
      <c r="BE28" s="347"/>
      <c r="BF28" s="366">
        <v>816</v>
      </c>
      <c r="BG28" s="366">
        <v>6328370</v>
      </c>
      <c r="BH28" s="367">
        <v>16060.58</v>
      </c>
      <c r="BI28" s="368" t="s">
        <v>56</v>
      </c>
      <c r="BJ28" s="347"/>
      <c r="BK28" s="347"/>
      <c r="BL28" s="366">
        <v>816</v>
      </c>
      <c r="BM28" s="366">
        <v>5846062</v>
      </c>
      <c r="BN28" s="367">
        <v>16034.66</v>
      </c>
      <c r="BO28" s="368" t="s">
        <v>56</v>
      </c>
      <c r="BP28" s="347"/>
      <c r="BQ28" s="347"/>
      <c r="BR28" s="366">
        <v>817</v>
      </c>
      <c r="BS28" s="366">
        <v>6959193</v>
      </c>
      <c r="BT28" s="367">
        <v>16602.96</v>
      </c>
    </row>
    <row r="29" spans="1:72">
      <c r="A29" s="91"/>
      <c r="B29" s="91"/>
      <c r="C29" s="91"/>
      <c r="D29" s="91"/>
      <c r="E29" s="343">
        <f>E28-E23</f>
        <v>5219480</v>
      </c>
      <c r="F29" s="91"/>
      <c r="G29" s="91"/>
      <c r="H29" s="91"/>
      <c r="I29" s="91"/>
      <c r="J29" s="91"/>
      <c r="K29" s="343">
        <f>K28-K23</f>
        <v>5404328</v>
      </c>
      <c r="L29" s="91"/>
      <c r="M29" s="91"/>
      <c r="N29" s="91"/>
      <c r="O29" s="91"/>
      <c r="P29" s="91"/>
      <c r="Q29" s="343">
        <f>Q28-Q23</f>
        <v>5125145</v>
      </c>
      <c r="R29" s="91"/>
      <c r="S29" s="91"/>
      <c r="T29" s="91"/>
      <c r="U29" s="91"/>
      <c r="V29" s="91"/>
      <c r="W29" s="343">
        <f>W28-W23</f>
        <v>4974231</v>
      </c>
      <c r="X29" s="91"/>
      <c r="Y29" s="91"/>
      <c r="Z29" s="91"/>
      <c r="AA29" s="91"/>
      <c r="AB29" s="91"/>
      <c r="AC29" s="343">
        <f>AC28-AC23</f>
        <v>4844018</v>
      </c>
      <c r="AD29" s="91"/>
      <c r="AE29" s="91"/>
      <c r="AF29" s="91"/>
      <c r="AG29" s="91"/>
      <c r="AH29" s="91"/>
      <c r="AI29" s="343">
        <f>AI28-AI23</f>
        <v>5664567</v>
      </c>
      <c r="AJ29" s="91"/>
      <c r="AK29" s="347"/>
      <c r="AL29" s="347"/>
      <c r="AM29" s="347"/>
      <c r="AN29" s="347"/>
      <c r="AO29" s="343">
        <f>AO28-AO23</f>
        <v>5084677</v>
      </c>
      <c r="AP29" s="347"/>
      <c r="AQ29" s="347"/>
      <c r="AR29" s="347"/>
      <c r="AS29" s="347"/>
      <c r="AT29" s="347"/>
      <c r="AU29" s="343">
        <f>AU28-AU23</f>
        <v>5541554</v>
      </c>
      <c r="AV29" s="347"/>
      <c r="AW29" s="347"/>
      <c r="AX29" s="347"/>
      <c r="AY29" s="347"/>
      <c r="AZ29" s="347"/>
      <c r="BA29" s="343">
        <f>BA28-BA23</f>
        <v>5827282</v>
      </c>
      <c r="BB29" s="347"/>
      <c r="BC29" s="347"/>
      <c r="BD29" s="347"/>
      <c r="BE29" s="347"/>
      <c r="BF29" s="347"/>
      <c r="BG29" s="343">
        <f>BG28-BG23</f>
        <v>5281370</v>
      </c>
      <c r="BH29" s="347"/>
      <c r="BI29" s="347"/>
      <c r="BJ29" s="347"/>
      <c r="BK29" s="347"/>
      <c r="BL29" s="347"/>
      <c r="BM29" s="343">
        <f>BM28-BM23</f>
        <v>4897942</v>
      </c>
      <c r="BN29" s="347"/>
      <c r="BO29" s="347"/>
      <c r="BP29" s="347"/>
      <c r="BQ29" s="347"/>
      <c r="BR29" s="347"/>
      <c r="BS29" s="343">
        <f>BS28-BS23</f>
        <v>5919033</v>
      </c>
      <c r="BT29" s="347"/>
    </row>
    <row r="30" spans="1:72">
      <c r="A30" s="357" t="s">
        <v>762</v>
      </c>
      <c r="B30" s="357" t="s">
        <v>763</v>
      </c>
      <c r="C30" s="91"/>
      <c r="D30" s="358">
        <v>1</v>
      </c>
      <c r="E30" s="358">
        <v>57696.66</v>
      </c>
      <c r="F30" s="359">
        <v>0</v>
      </c>
      <c r="G30" s="357" t="s">
        <v>762</v>
      </c>
      <c r="H30" s="357" t="s">
        <v>763</v>
      </c>
      <c r="I30" s="91"/>
      <c r="J30" s="358">
        <v>1</v>
      </c>
      <c r="K30" s="358">
        <v>48743.74</v>
      </c>
      <c r="L30" s="359">
        <v>0</v>
      </c>
      <c r="M30" s="357" t="s">
        <v>762</v>
      </c>
      <c r="N30" s="357" t="s">
        <v>763</v>
      </c>
      <c r="O30" s="91"/>
      <c r="P30" s="358">
        <v>1</v>
      </c>
      <c r="Q30" s="358">
        <v>48885.84</v>
      </c>
      <c r="R30" s="359">
        <v>0</v>
      </c>
      <c r="S30" s="357" t="s">
        <v>762</v>
      </c>
      <c r="T30" s="357" t="s">
        <v>763</v>
      </c>
      <c r="U30" s="91"/>
      <c r="V30" s="358">
        <v>1</v>
      </c>
      <c r="W30" s="358">
        <v>42206.68</v>
      </c>
      <c r="X30" s="359">
        <v>0</v>
      </c>
      <c r="Y30" s="357" t="s">
        <v>762</v>
      </c>
      <c r="Z30" s="357" t="s">
        <v>763</v>
      </c>
      <c r="AA30" s="91"/>
      <c r="AB30" s="358">
        <v>1</v>
      </c>
      <c r="AC30" s="358">
        <v>38647.32</v>
      </c>
      <c r="AD30" s="359">
        <v>0</v>
      </c>
      <c r="AE30" s="357" t="s">
        <v>762</v>
      </c>
      <c r="AF30" s="357" t="s">
        <v>763</v>
      </c>
      <c r="AG30" s="91"/>
      <c r="AH30" s="358">
        <v>1</v>
      </c>
      <c r="AI30" s="358">
        <v>34870.04</v>
      </c>
      <c r="AJ30" s="359">
        <v>0</v>
      </c>
      <c r="AK30" s="365" t="s">
        <v>762</v>
      </c>
      <c r="AL30" s="365" t="s">
        <v>763</v>
      </c>
      <c r="AM30" s="347"/>
      <c r="AN30" s="366">
        <v>1</v>
      </c>
      <c r="AO30" s="366">
        <v>37299.519999999997</v>
      </c>
      <c r="AP30" s="367">
        <v>0</v>
      </c>
      <c r="AQ30" s="365" t="s">
        <v>762</v>
      </c>
      <c r="AR30" s="365" t="s">
        <v>763</v>
      </c>
      <c r="AS30" s="347"/>
      <c r="AT30" s="366">
        <v>1</v>
      </c>
      <c r="AU30" s="366">
        <v>41586.82</v>
      </c>
      <c r="AV30" s="367">
        <v>0</v>
      </c>
      <c r="AW30" s="365" t="s">
        <v>762</v>
      </c>
      <c r="AX30" s="365" t="s">
        <v>763</v>
      </c>
      <c r="AY30" s="347"/>
      <c r="AZ30" s="366">
        <v>1</v>
      </c>
      <c r="BA30" s="366">
        <v>45445.38</v>
      </c>
      <c r="BB30" s="367">
        <v>0</v>
      </c>
      <c r="BC30" s="365" t="s">
        <v>762</v>
      </c>
      <c r="BD30" s="365" t="s">
        <v>763</v>
      </c>
      <c r="BE30" s="347"/>
      <c r="BF30" s="366">
        <v>1</v>
      </c>
      <c r="BG30" s="366">
        <v>52305.06</v>
      </c>
      <c r="BH30" s="367">
        <v>0</v>
      </c>
      <c r="BI30" s="365" t="s">
        <v>762</v>
      </c>
      <c r="BJ30" s="365" t="s">
        <v>763</v>
      </c>
      <c r="BK30" s="347"/>
      <c r="BL30" s="366">
        <v>1</v>
      </c>
      <c r="BM30" s="366">
        <v>54943.360000000001</v>
      </c>
      <c r="BN30" s="367">
        <v>0</v>
      </c>
      <c r="BO30" s="365" t="s">
        <v>762</v>
      </c>
      <c r="BP30" s="365" t="s">
        <v>763</v>
      </c>
      <c r="BQ30" s="347"/>
      <c r="BR30" s="366">
        <v>1</v>
      </c>
      <c r="BS30" s="366">
        <v>59094.36</v>
      </c>
      <c r="BT30" s="367">
        <v>0</v>
      </c>
    </row>
    <row r="31" spans="1:72">
      <c r="A31" s="360" t="s">
        <v>604</v>
      </c>
      <c r="B31" s="91"/>
      <c r="C31" s="91"/>
      <c r="D31" s="358">
        <v>1</v>
      </c>
      <c r="E31" s="358">
        <v>57696.66</v>
      </c>
      <c r="F31" s="359">
        <v>0</v>
      </c>
      <c r="G31" s="360" t="s">
        <v>604</v>
      </c>
      <c r="H31" s="91"/>
      <c r="I31" s="91"/>
      <c r="J31" s="358">
        <v>1</v>
      </c>
      <c r="K31" s="358">
        <v>48743.74</v>
      </c>
      <c r="L31" s="359">
        <v>0</v>
      </c>
      <c r="M31" s="360" t="s">
        <v>604</v>
      </c>
      <c r="N31" s="91"/>
      <c r="O31" s="91"/>
      <c r="P31" s="358">
        <v>1</v>
      </c>
      <c r="Q31" s="358">
        <v>48885.84</v>
      </c>
      <c r="R31" s="359">
        <v>0</v>
      </c>
      <c r="S31" s="360" t="s">
        <v>604</v>
      </c>
      <c r="T31" s="91"/>
      <c r="U31" s="91"/>
      <c r="V31" s="358">
        <v>1</v>
      </c>
      <c r="W31" s="358">
        <v>42206.68</v>
      </c>
      <c r="X31" s="359">
        <v>0</v>
      </c>
      <c r="Y31" s="360" t="s">
        <v>604</v>
      </c>
      <c r="Z31" s="91"/>
      <c r="AA31" s="91"/>
      <c r="AB31" s="358">
        <v>1</v>
      </c>
      <c r="AC31" s="358">
        <v>38647.32</v>
      </c>
      <c r="AD31" s="359">
        <v>0</v>
      </c>
      <c r="AE31" s="360" t="s">
        <v>604</v>
      </c>
      <c r="AF31" s="91"/>
      <c r="AG31" s="91"/>
      <c r="AH31" s="358">
        <v>1</v>
      </c>
      <c r="AI31" s="358">
        <v>34870.04</v>
      </c>
      <c r="AJ31" s="359">
        <v>0</v>
      </c>
      <c r="AK31" s="368" t="s">
        <v>604</v>
      </c>
      <c r="AL31" s="347"/>
      <c r="AM31" s="347"/>
      <c r="AN31" s="366">
        <v>1</v>
      </c>
      <c r="AO31" s="366">
        <v>37299.519999999997</v>
      </c>
      <c r="AP31" s="367">
        <v>0</v>
      </c>
      <c r="AQ31" s="368" t="s">
        <v>604</v>
      </c>
      <c r="AR31" s="347"/>
      <c r="AS31" s="347"/>
      <c r="AT31" s="366">
        <v>1</v>
      </c>
      <c r="AU31" s="366">
        <v>41586.82</v>
      </c>
      <c r="AV31" s="367">
        <v>0</v>
      </c>
      <c r="AW31" s="368" t="s">
        <v>604</v>
      </c>
      <c r="AX31" s="347"/>
      <c r="AY31" s="347"/>
      <c r="AZ31" s="366">
        <v>1</v>
      </c>
      <c r="BA31" s="366">
        <v>45445.38</v>
      </c>
      <c r="BB31" s="367">
        <v>0</v>
      </c>
      <c r="BC31" s="368" t="s">
        <v>604</v>
      </c>
      <c r="BD31" s="347"/>
      <c r="BE31" s="347"/>
      <c r="BF31" s="366">
        <v>1</v>
      </c>
      <c r="BG31" s="366">
        <v>52305.06</v>
      </c>
      <c r="BH31" s="367">
        <v>0</v>
      </c>
      <c r="BI31" s="368" t="s">
        <v>604</v>
      </c>
      <c r="BJ31" s="347"/>
      <c r="BK31" s="347"/>
      <c r="BL31" s="366">
        <v>1</v>
      </c>
      <c r="BM31" s="366">
        <v>54943.360000000001</v>
      </c>
      <c r="BN31" s="367">
        <v>0</v>
      </c>
      <c r="BO31" s="368" t="s">
        <v>604</v>
      </c>
      <c r="BP31" s="347"/>
      <c r="BQ31" s="347"/>
      <c r="BR31" s="366">
        <v>1</v>
      </c>
      <c r="BS31" s="366">
        <v>59094.36</v>
      </c>
      <c r="BT31" s="367">
        <v>0</v>
      </c>
    </row>
    <row r="32" spans="1:72">
      <c r="A32" s="91"/>
      <c r="B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347"/>
      <c r="AL32" s="347"/>
      <c r="AM32" s="347"/>
      <c r="AN32" s="347"/>
      <c r="AO32" s="347"/>
      <c r="AP32" s="347"/>
      <c r="AQ32" s="347"/>
      <c r="AR32" s="347"/>
      <c r="AS32" s="347"/>
      <c r="AT32" s="347"/>
      <c r="AU32" s="347"/>
      <c r="AV32" s="347"/>
      <c r="AW32" s="347"/>
      <c r="AX32" s="347"/>
      <c r="AY32" s="347"/>
      <c r="AZ32" s="347"/>
      <c r="BA32" s="347"/>
      <c r="BB32" s="347"/>
      <c r="BC32" s="347"/>
      <c r="BD32" s="347"/>
      <c r="BE32" s="347"/>
      <c r="BF32" s="347"/>
      <c r="BG32" s="347"/>
      <c r="BH32" s="347"/>
      <c r="BI32" s="347"/>
      <c r="BJ32" s="347"/>
      <c r="BK32" s="347"/>
      <c r="BL32" s="347"/>
      <c r="BM32" s="347"/>
      <c r="BN32" s="347"/>
      <c r="BO32" s="347"/>
      <c r="BP32" s="347"/>
      <c r="BQ32" s="347"/>
      <c r="BR32" s="347"/>
      <c r="BS32" s="347"/>
      <c r="BT32" s="347"/>
    </row>
    <row r="33" spans="1:72">
      <c r="A33" s="357" t="s">
        <v>764</v>
      </c>
      <c r="B33" s="357" t="s">
        <v>765</v>
      </c>
      <c r="C33" s="91"/>
      <c r="D33" s="358">
        <v>38</v>
      </c>
      <c r="E33" s="358">
        <v>90228</v>
      </c>
      <c r="F33" s="359">
        <v>0</v>
      </c>
      <c r="G33" s="357" t="s">
        <v>764</v>
      </c>
      <c r="H33" s="357" t="s">
        <v>765</v>
      </c>
      <c r="I33" s="91"/>
      <c r="J33" s="358">
        <v>38</v>
      </c>
      <c r="K33" s="358">
        <v>92931</v>
      </c>
      <c r="L33" s="359">
        <v>0</v>
      </c>
      <c r="M33" s="357" t="s">
        <v>764</v>
      </c>
      <c r="N33" s="357" t="s">
        <v>765</v>
      </c>
      <c r="O33" s="91"/>
      <c r="P33" s="358">
        <v>38</v>
      </c>
      <c r="Q33" s="358">
        <v>82374</v>
      </c>
      <c r="R33" s="359">
        <v>0</v>
      </c>
      <c r="S33" s="357" t="s">
        <v>764</v>
      </c>
      <c r="T33" s="357" t="s">
        <v>765</v>
      </c>
      <c r="U33" s="91"/>
      <c r="V33" s="358">
        <v>38</v>
      </c>
      <c r="W33" s="358">
        <v>63824</v>
      </c>
      <c r="X33" s="359">
        <v>0</v>
      </c>
      <c r="Y33" s="357" t="s">
        <v>764</v>
      </c>
      <c r="Z33" s="357" t="s">
        <v>765</v>
      </c>
      <c r="AA33" s="91"/>
      <c r="AB33" s="358">
        <v>38</v>
      </c>
      <c r="AC33" s="358">
        <v>42743</v>
      </c>
      <c r="AD33" s="359">
        <v>0</v>
      </c>
      <c r="AE33" s="357" t="s">
        <v>764</v>
      </c>
      <c r="AF33" s="357" t="s">
        <v>765</v>
      </c>
      <c r="AG33" s="91"/>
      <c r="AH33" s="358">
        <v>40</v>
      </c>
      <c r="AI33" s="358">
        <v>45153</v>
      </c>
      <c r="AJ33" s="359">
        <v>0</v>
      </c>
      <c r="AK33" s="365" t="s">
        <v>764</v>
      </c>
      <c r="AL33" s="365" t="s">
        <v>765</v>
      </c>
      <c r="AM33" s="347"/>
      <c r="AN33" s="366">
        <v>38</v>
      </c>
      <c r="AO33" s="366">
        <v>43447</v>
      </c>
      <c r="AP33" s="367">
        <v>0</v>
      </c>
      <c r="AQ33" s="365" t="s">
        <v>764</v>
      </c>
      <c r="AR33" s="365" t="s">
        <v>765</v>
      </c>
      <c r="AS33" s="347"/>
      <c r="AT33" s="366">
        <v>38</v>
      </c>
      <c r="AU33" s="366">
        <v>45297</v>
      </c>
      <c r="AV33" s="367">
        <v>0</v>
      </c>
      <c r="AW33" s="365" t="s">
        <v>764</v>
      </c>
      <c r="AX33" s="365" t="s">
        <v>765</v>
      </c>
      <c r="AY33" s="347"/>
      <c r="AZ33" s="366">
        <v>38</v>
      </c>
      <c r="BA33" s="366">
        <v>41481</v>
      </c>
      <c r="BB33" s="367">
        <v>0</v>
      </c>
      <c r="BC33" s="365" t="s">
        <v>764</v>
      </c>
      <c r="BD33" s="365" t="s">
        <v>765</v>
      </c>
      <c r="BE33" s="347"/>
      <c r="BF33" s="366">
        <v>38</v>
      </c>
      <c r="BG33" s="366">
        <v>41087</v>
      </c>
      <c r="BH33" s="367">
        <v>0</v>
      </c>
      <c r="BI33" s="365" t="s">
        <v>764</v>
      </c>
      <c r="BJ33" s="365" t="s">
        <v>765</v>
      </c>
      <c r="BK33" s="347"/>
      <c r="BL33" s="366">
        <v>38</v>
      </c>
      <c r="BM33" s="366">
        <v>53959</v>
      </c>
      <c r="BN33" s="367">
        <v>0</v>
      </c>
      <c r="BO33" s="365" t="s">
        <v>764</v>
      </c>
      <c r="BP33" s="365" t="s">
        <v>765</v>
      </c>
      <c r="BQ33" s="347"/>
      <c r="BR33" s="366">
        <v>38</v>
      </c>
      <c r="BS33" s="366">
        <v>88113</v>
      </c>
      <c r="BT33" s="367">
        <v>0</v>
      </c>
    </row>
    <row r="34" spans="1:72">
      <c r="A34" s="360" t="s">
        <v>766</v>
      </c>
      <c r="B34" s="91"/>
      <c r="C34" s="91"/>
      <c r="D34" s="358">
        <v>38</v>
      </c>
      <c r="E34" s="358">
        <v>90228</v>
      </c>
      <c r="F34" s="359">
        <v>0</v>
      </c>
      <c r="G34" s="360" t="s">
        <v>766</v>
      </c>
      <c r="H34" s="91"/>
      <c r="I34" s="91"/>
      <c r="J34" s="358">
        <v>38</v>
      </c>
      <c r="K34" s="358">
        <v>92931</v>
      </c>
      <c r="L34" s="359">
        <v>0</v>
      </c>
      <c r="M34" s="360" t="s">
        <v>766</v>
      </c>
      <c r="N34" s="91"/>
      <c r="O34" s="91"/>
      <c r="P34" s="358">
        <v>38</v>
      </c>
      <c r="Q34" s="358">
        <v>82374</v>
      </c>
      <c r="R34" s="359">
        <v>0</v>
      </c>
      <c r="S34" s="360" t="s">
        <v>766</v>
      </c>
      <c r="T34" s="91"/>
      <c r="U34" s="91"/>
      <c r="V34" s="358">
        <v>38</v>
      </c>
      <c r="W34" s="358">
        <v>63824</v>
      </c>
      <c r="X34" s="359">
        <v>0</v>
      </c>
      <c r="Y34" s="360" t="s">
        <v>766</v>
      </c>
      <c r="Z34" s="91"/>
      <c r="AA34" s="91"/>
      <c r="AB34" s="358">
        <v>38</v>
      </c>
      <c r="AC34" s="358">
        <v>42743</v>
      </c>
      <c r="AD34" s="359">
        <v>0</v>
      </c>
      <c r="AE34" s="360" t="s">
        <v>766</v>
      </c>
      <c r="AF34" s="91"/>
      <c r="AG34" s="91"/>
      <c r="AH34" s="358">
        <v>40</v>
      </c>
      <c r="AI34" s="358">
        <v>45153</v>
      </c>
      <c r="AJ34" s="359">
        <v>0</v>
      </c>
      <c r="AK34" s="368" t="s">
        <v>766</v>
      </c>
      <c r="AL34" s="347"/>
      <c r="AM34" s="347"/>
      <c r="AN34" s="366">
        <v>38</v>
      </c>
      <c r="AO34" s="366">
        <v>43447</v>
      </c>
      <c r="AP34" s="367">
        <v>0</v>
      </c>
      <c r="AQ34" s="368" t="s">
        <v>766</v>
      </c>
      <c r="AR34" s="347"/>
      <c r="AS34" s="347"/>
      <c r="AT34" s="366">
        <v>38</v>
      </c>
      <c r="AU34" s="366">
        <v>45297</v>
      </c>
      <c r="AV34" s="367">
        <v>0</v>
      </c>
      <c r="AW34" s="368" t="s">
        <v>766</v>
      </c>
      <c r="AX34" s="347"/>
      <c r="AY34" s="347"/>
      <c r="AZ34" s="366">
        <v>38</v>
      </c>
      <c r="BA34" s="366">
        <v>41481</v>
      </c>
      <c r="BB34" s="367">
        <v>0</v>
      </c>
      <c r="BC34" s="368" t="s">
        <v>766</v>
      </c>
      <c r="BD34" s="347"/>
      <c r="BE34" s="347"/>
      <c r="BF34" s="366">
        <v>38</v>
      </c>
      <c r="BG34" s="366">
        <v>41087</v>
      </c>
      <c r="BH34" s="367">
        <v>0</v>
      </c>
      <c r="BI34" s="368" t="s">
        <v>766</v>
      </c>
      <c r="BJ34" s="347"/>
      <c r="BK34" s="347"/>
      <c r="BL34" s="366">
        <v>38</v>
      </c>
      <c r="BM34" s="366">
        <v>53959</v>
      </c>
      <c r="BN34" s="367">
        <v>0</v>
      </c>
      <c r="BO34" s="368" t="s">
        <v>766</v>
      </c>
      <c r="BP34" s="347"/>
      <c r="BQ34" s="347"/>
      <c r="BR34" s="366">
        <v>38</v>
      </c>
      <c r="BS34" s="366">
        <v>88113</v>
      </c>
      <c r="BT34" s="367">
        <v>0</v>
      </c>
    </row>
    <row r="35" spans="1:72">
      <c r="A35" s="91"/>
      <c r="B35" s="91"/>
      <c r="C35" s="91"/>
      <c r="D35" s="91"/>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347"/>
      <c r="AL35" s="347"/>
      <c r="AM35" s="347"/>
      <c r="AN35" s="347"/>
      <c r="AO35" s="347"/>
      <c r="AP35" s="347"/>
      <c r="AQ35" s="347"/>
      <c r="AR35" s="347"/>
      <c r="AS35" s="347"/>
      <c r="AT35" s="347"/>
      <c r="AU35" s="347"/>
      <c r="AV35" s="347"/>
      <c r="AW35" s="347"/>
      <c r="AX35" s="347"/>
      <c r="AY35" s="347"/>
      <c r="AZ35" s="347"/>
      <c r="BA35" s="347"/>
      <c r="BB35" s="347"/>
      <c r="BC35" s="347"/>
      <c r="BD35" s="347"/>
      <c r="BE35" s="347"/>
      <c r="BF35" s="347"/>
      <c r="BG35" s="347"/>
      <c r="BH35" s="347"/>
      <c r="BI35" s="347"/>
      <c r="BJ35" s="347"/>
      <c r="BK35" s="347"/>
      <c r="BL35" s="347"/>
      <c r="BM35" s="347"/>
      <c r="BN35" s="347"/>
      <c r="BO35" s="347"/>
      <c r="BP35" s="347"/>
      <c r="BQ35" s="347"/>
      <c r="BR35" s="347"/>
      <c r="BS35" s="347"/>
      <c r="BT35" s="347"/>
    </row>
    <row r="36" spans="1:72">
      <c r="A36" s="357" t="s">
        <v>767</v>
      </c>
      <c r="B36" s="357" t="s">
        <v>768</v>
      </c>
      <c r="C36" s="91"/>
      <c r="D36" s="358">
        <v>5023</v>
      </c>
      <c r="E36" s="358">
        <v>5724601</v>
      </c>
      <c r="F36" s="359">
        <v>638.08000000000004</v>
      </c>
      <c r="G36" s="357" t="s">
        <v>767</v>
      </c>
      <c r="H36" s="357" t="s">
        <v>768</v>
      </c>
      <c r="I36" s="91"/>
      <c r="J36" s="358">
        <v>4964</v>
      </c>
      <c r="K36" s="358">
        <v>6574603</v>
      </c>
      <c r="L36" s="359">
        <v>699.51</v>
      </c>
      <c r="M36" s="357" t="s">
        <v>767</v>
      </c>
      <c r="N36" s="357" t="s">
        <v>768</v>
      </c>
      <c r="O36" s="91"/>
      <c r="P36" s="358">
        <v>4975</v>
      </c>
      <c r="Q36" s="358">
        <v>5644208</v>
      </c>
      <c r="R36" s="359">
        <v>664.02</v>
      </c>
      <c r="S36" s="357" t="s">
        <v>767</v>
      </c>
      <c r="T36" s="357" t="s">
        <v>768</v>
      </c>
      <c r="U36" s="91"/>
      <c r="V36" s="358">
        <v>4950</v>
      </c>
      <c r="W36" s="358">
        <v>4645065</v>
      </c>
      <c r="X36" s="359">
        <v>576.13</v>
      </c>
      <c r="Y36" s="357" t="s">
        <v>767</v>
      </c>
      <c r="Z36" s="357" t="s">
        <v>768</v>
      </c>
      <c r="AA36" s="91"/>
      <c r="AB36" s="358">
        <v>5004</v>
      </c>
      <c r="AC36" s="358">
        <v>3676955</v>
      </c>
      <c r="AD36" s="359">
        <v>550.46</v>
      </c>
      <c r="AE36" s="357" t="s">
        <v>767</v>
      </c>
      <c r="AF36" s="357" t="s">
        <v>768</v>
      </c>
      <c r="AG36" s="91"/>
      <c r="AH36" s="358">
        <v>5083</v>
      </c>
      <c r="AI36" s="358">
        <v>3501887</v>
      </c>
      <c r="AJ36" s="359">
        <v>536.49</v>
      </c>
      <c r="AK36" s="365" t="s">
        <v>767</v>
      </c>
      <c r="AL36" s="365" t="s">
        <v>768</v>
      </c>
      <c r="AM36" s="347"/>
      <c r="AN36" s="366">
        <v>5416</v>
      </c>
      <c r="AO36" s="366">
        <v>3380210</v>
      </c>
      <c r="AP36" s="367">
        <v>507.55</v>
      </c>
      <c r="AQ36" s="365" t="s">
        <v>767</v>
      </c>
      <c r="AR36" s="365" t="s">
        <v>768</v>
      </c>
      <c r="AS36" s="347"/>
      <c r="AT36" s="366">
        <v>5532</v>
      </c>
      <c r="AU36" s="366">
        <v>3627980</v>
      </c>
      <c r="AV36" s="367">
        <v>508.05</v>
      </c>
      <c r="AW36" s="365" t="s">
        <v>767</v>
      </c>
      <c r="AX36" s="365" t="s">
        <v>768</v>
      </c>
      <c r="AY36" s="347"/>
      <c r="AZ36" s="366">
        <v>5036</v>
      </c>
      <c r="BA36" s="366">
        <v>4114142</v>
      </c>
      <c r="BB36" s="367">
        <v>550.9</v>
      </c>
      <c r="BC36" s="365" t="s">
        <v>767</v>
      </c>
      <c r="BD36" s="365" t="s">
        <v>768</v>
      </c>
      <c r="BE36" s="347"/>
      <c r="BF36" s="366">
        <v>4990</v>
      </c>
      <c r="BG36" s="366">
        <v>3684827</v>
      </c>
      <c r="BH36" s="367">
        <v>517.27</v>
      </c>
      <c r="BI36" s="365" t="s">
        <v>767</v>
      </c>
      <c r="BJ36" s="365" t="s">
        <v>768</v>
      </c>
      <c r="BK36" s="347"/>
      <c r="BL36" s="366">
        <v>4958</v>
      </c>
      <c r="BM36" s="366">
        <v>4251838</v>
      </c>
      <c r="BN36" s="367">
        <v>549.64</v>
      </c>
      <c r="BO36" s="365" t="s">
        <v>767</v>
      </c>
      <c r="BP36" s="365" t="s">
        <v>768</v>
      </c>
      <c r="BQ36" s="347"/>
      <c r="BR36" s="366">
        <v>5023</v>
      </c>
      <c r="BS36" s="366">
        <v>6262440</v>
      </c>
      <c r="BT36" s="367">
        <v>650.19000000000005</v>
      </c>
    </row>
    <row r="37" spans="1:72">
      <c r="A37" s="360" t="s">
        <v>769</v>
      </c>
      <c r="B37" s="91"/>
      <c r="C37" s="91"/>
      <c r="D37" s="358">
        <v>5023</v>
      </c>
      <c r="E37" s="358">
        <v>5724601</v>
      </c>
      <c r="F37" s="359">
        <v>638.08000000000004</v>
      </c>
      <c r="G37" s="360" t="s">
        <v>769</v>
      </c>
      <c r="H37" s="91"/>
      <c r="I37" s="91"/>
      <c r="J37" s="358">
        <v>4964</v>
      </c>
      <c r="K37" s="358">
        <v>6574603</v>
      </c>
      <c r="L37" s="359">
        <v>699.51</v>
      </c>
      <c r="M37" s="360" t="s">
        <v>769</v>
      </c>
      <c r="N37" s="91"/>
      <c r="O37" s="91"/>
      <c r="P37" s="358">
        <v>4975</v>
      </c>
      <c r="Q37" s="358">
        <v>5644208</v>
      </c>
      <c r="R37" s="359">
        <v>664.02</v>
      </c>
      <c r="S37" s="360" t="s">
        <v>769</v>
      </c>
      <c r="T37" s="91"/>
      <c r="U37" s="91"/>
      <c r="V37" s="358">
        <v>4950</v>
      </c>
      <c r="W37" s="358">
        <v>4645065</v>
      </c>
      <c r="X37" s="359">
        <v>576.13</v>
      </c>
      <c r="Y37" s="360" t="s">
        <v>769</v>
      </c>
      <c r="Z37" s="91"/>
      <c r="AA37" s="91"/>
      <c r="AB37" s="358">
        <v>5004</v>
      </c>
      <c r="AC37" s="358">
        <v>3676955</v>
      </c>
      <c r="AD37" s="359">
        <v>550.46</v>
      </c>
      <c r="AE37" s="360" t="s">
        <v>769</v>
      </c>
      <c r="AF37" s="91"/>
      <c r="AG37" s="91"/>
      <c r="AH37" s="358">
        <v>5083</v>
      </c>
      <c r="AI37" s="358">
        <v>3501887</v>
      </c>
      <c r="AJ37" s="359">
        <v>536.49</v>
      </c>
      <c r="AK37" s="368" t="s">
        <v>769</v>
      </c>
      <c r="AL37" s="347"/>
      <c r="AM37" s="347"/>
      <c r="AN37" s="366">
        <v>5416</v>
      </c>
      <c r="AO37" s="366">
        <v>3380210</v>
      </c>
      <c r="AP37" s="367">
        <v>507.55</v>
      </c>
      <c r="AQ37" s="368" t="s">
        <v>769</v>
      </c>
      <c r="AR37" s="347"/>
      <c r="AS37" s="347"/>
      <c r="AT37" s="366">
        <v>5532</v>
      </c>
      <c r="AU37" s="366">
        <v>3627980</v>
      </c>
      <c r="AV37" s="367">
        <v>508.05</v>
      </c>
      <c r="AW37" s="368" t="s">
        <v>769</v>
      </c>
      <c r="AX37" s="347"/>
      <c r="AY37" s="347"/>
      <c r="AZ37" s="366">
        <v>5036</v>
      </c>
      <c r="BA37" s="366">
        <v>4114142</v>
      </c>
      <c r="BB37" s="367">
        <v>550.9</v>
      </c>
      <c r="BC37" s="368" t="s">
        <v>769</v>
      </c>
      <c r="BD37" s="347"/>
      <c r="BE37" s="347"/>
      <c r="BF37" s="366">
        <v>4990</v>
      </c>
      <c r="BG37" s="366">
        <v>3684827</v>
      </c>
      <c r="BH37" s="367">
        <v>517.27</v>
      </c>
      <c r="BI37" s="368" t="s">
        <v>769</v>
      </c>
      <c r="BJ37" s="347"/>
      <c r="BK37" s="347"/>
      <c r="BL37" s="366">
        <v>4958</v>
      </c>
      <c r="BM37" s="366">
        <v>4251838</v>
      </c>
      <c r="BN37" s="367">
        <v>549.64</v>
      </c>
      <c r="BO37" s="368" t="s">
        <v>769</v>
      </c>
      <c r="BP37" s="347"/>
      <c r="BQ37" s="347"/>
      <c r="BR37" s="366">
        <v>5023</v>
      </c>
      <c r="BS37" s="366">
        <v>6262440</v>
      </c>
      <c r="BT37" s="367">
        <v>650.19000000000005</v>
      </c>
    </row>
    <row r="38" spans="1:72">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347"/>
      <c r="AL38" s="347"/>
      <c r="AM38" s="347"/>
      <c r="AN38" s="347"/>
      <c r="AO38" s="347"/>
      <c r="AP38" s="347"/>
      <c r="AQ38" s="347"/>
      <c r="AR38" s="347"/>
      <c r="AS38" s="347"/>
      <c r="AT38" s="347"/>
      <c r="AU38" s="347"/>
      <c r="AV38" s="347"/>
      <c r="AW38" s="347"/>
      <c r="AX38" s="347"/>
      <c r="AY38" s="347"/>
      <c r="AZ38" s="347"/>
      <c r="BA38" s="347"/>
      <c r="BB38" s="347"/>
      <c r="BC38" s="347"/>
      <c r="BD38" s="347"/>
      <c r="BE38" s="347"/>
      <c r="BF38" s="347"/>
      <c r="BG38" s="347"/>
      <c r="BH38" s="347"/>
      <c r="BI38" s="347"/>
      <c r="BJ38" s="347"/>
      <c r="BK38" s="347"/>
      <c r="BL38" s="347"/>
      <c r="BM38" s="347"/>
      <c r="BN38" s="347"/>
      <c r="BO38" s="347"/>
      <c r="BP38" s="347"/>
      <c r="BQ38" s="347"/>
      <c r="BR38" s="347"/>
      <c r="BS38" s="347"/>
      <c r="BT38" s="347"/>
    </row>
    <row r="39" spans="1:72">
      <c r="A39" s="361" t="s">
        <v>770</v>
      </c>
      <c r="B39" s="91"/>
      <c r="C39" s="91"/>
      <c r="D39" s="358">
        <v>6192</v>
      </c>
      <c r="E39" s="358">
        <v>26298128.66</v>
      </c>
      <c r="F39" s="362">
        <v>51224.639999999999</v>
      </c>
      <c r="G39" s="361" t="s">
        <v>770</v>
      </c>
      <c r="H39" s="91"/>
      <c r="I39" s="91"/>
      <c r="J39" s="358">
        <v>6130</v>
      </c>
      <c r="K39" s="358">
        <v>28966224.739999998</v>
      </c>
      <c r="L39" s="362">
        <v>54664.69</v>
      </c>
      <c r="M39" s="361" t="s">
        <v>770</v>
      </c>
      <c r="N39" s="91"/>
      <c r="O39" s="91"/>
      <c r="P39" s="358">
        <v>6144</v>
      </c>
      <c r="Q39" s="358">
        <v>28078175.84</v>
      </c>
      <c r="R39" s="362">
        <v>53742.51</v>
      </c>
      <c r="S39" s="361" t="s">
        <v>770</v>
      </c>
      <c r="T39" s="91"/>
      <c r="U39" s="91"/>
      <c r="V39" s="358">
        <v>6118</v>
      </c>
      <c r="W39" s="358">
        <v>27406199.68</v>
      </c>
      <c r="X39" s="362">
        <v>55928.26</v>
      </c>
      <c r="Y39" s="361" t="s">
        <v>770</v>
      </c>
      <c r="Z39" s="91"/>
      <c r="AA39" s="91"/>
      <c r="AB39" s="358">
        <v>6163</v>
      </c>
      <c r="AC39" s="358">
        <v>25831166.32</v>
      </c>
      <c r="AD39" s="362">
        <v>59073.84</v>
      </c>
      <c r="AE39" s="361" t="s">
        <v>770</v>
      </c>
      <c r="AF39" s="91"/>
      <c r="AG39" s="91"/>
      <c r="AH39" s="358">
        <v>6255</v>
      </c>
      <c r="AI39" s="358">
        <v>30406551.039999999</v>
      </c>
      <c r="AJ39" s="362">
        <v>56633.46</v>
      </c>
      <c r="AK39" s="369" t="s">
        <v>770</v>
      </c>
      <c r="AL39" s="347"/>
      <c r="AM39" s="347"/>
      <c r="AN39" s="366">
        <v>6582</v>
      </c>
      <c r="AO39" s="366">
        <v>24696425.52</v>
      </c>
      <c r="AP39" s="370">
        <v>53229.77</v>
      </c>
      <c r="AQ39" s="369" t="s">
        <v>770</v>
      </c>
      <c r="AR39" s="347"/>
      <c r="AS39" s="347"/>
      <c r="AT39" s="366">
        <v>6704</v>
      </c>
      <c r="AU39" s="366">
        <v>26836996.82</v>
      </c>
      <c r="AV39" s="370">
        <v>58813.83</v>
      </c>
      <c r="AW39" s="369" t="s">
        <v>770</v>
      </c>
      <c r="AX39" s="347"/>
      <c r="AY39" s="347"/>
      <c r="AZ39" s="366">
        <v>6207</v>
      </c>
      <c r="BA39" s="366">
        <v>32405292.379999999</v>
      </c>
      <c r="BB39" s="370">
        <v>61376.32</v>
      </c>
      <c r="BC39" s="369" t="s">
        <v>770</v>
      </c>
      <c r="BD39" s="347"/>
      <c r="BE39" s="347"/>
      <c r="BF39" s="366">
        <v>6159</v>
      </c>
      <c r="BG39" s="366">
        <v>27677796.059999999</v>
      </c>
      <c r="BH39" s="370">
        <v>57608.56</v>
      </c>
      <c r="BI39" s="369" t="s">
        <v>770</v>
      </c>
      <c r="BJ39" s="347"/>
      <c r="BK39" s="347"/>
      <c r="BL39" s="366">
        <v>6128</v>
      </c>
      <c r="BM39" s="366">
        <v>26769602.359999999</v>
      </c>
      <c r="BN39" s="370">
        <v>56080.67</v>
      </c>
      <c r="BO39" s="369" t="s">
        <v>770</v>
      </c>
      <c r="BP39" s="347"/>
      <c r="BQ39" s="347"/>
      <c r="BR39" s="366">
        <v>6195</v>
      </c>
      <c r="BS39" s="366">
        <v>31304992.359999999</v>
      </c>
      <c r="BT39" s="370">
        <v>56198.76</v>
      </c>
    </row>
    <row r="40" spans="1:72">
      <c r="A40" s="93" t="s">
        <v>55</v>
      </c>
      <c r="C40" s="92">
        <f>E36</f>
        <v>5724601</v>
      </c>
      <c r="D40" s="91"/>
      <c r="E40" s="91"/>
      <c r="F40" s="91"/>
      <c r="G40" s="93" t="s">
        <v>55</v>
      </c>
      <c r="I40" s="92">
        <f>K36</f>
        <v>6574603</v>
      </c>
      <c r="M40" s="93" t="s">
        <v>55</v>
      </c>
      <c r="O40" s="92">
        <f>Q36</f>
        <v>5644208</v>
      </c>
      <c r="S40" s="93" t="s">
        <v>55</v>
      </c>
      <c r="U40" s="92">
        <f>W36</f>
        <v>4645065</v>
      </c>
      <c r="Y40" s="93" t="s">
        <v>55</v>
      </c>
      <c r="AA40" s="92">
        <f>AC36</f>
        <v>3676955</v>
      </c>
      <c r="AE40" s="93" t="s">
        <v>55</v>
      </c>
      <c r="AG40" s="92">
        <f>AI36</f>
        <v>3501887</v>
      </c>
      <c r="AK40" s="93" t="s">
        <v>55</v>
      </c>
      <c r="AM40" s="92">
        <f>AO36</f>
        <v>3380210</v>
      </c>
      <c r="AQ40" s="93" t="s">
        <v>55</v>
      </c>
      <c r="AS40" s="92">
        <f>AU36</f>
        <v>3627980</v>
      </c>
      <c r="AW40" s="93" t="s">
        <v>55</v>
      </c>
      <c r="AY40" s="92">
        <f>BA36</f>
        <v>4114142</v>
      </c>
      <c r="BC40" s="93" t="s">
        <v>55</v>
      </c>
      <c r="BE40" s="92">
        <f>BG36</f>
        <v>3684827</v>
      </c>
      <c r="BI40" s="93" t="s">
        <v>55</v>
      </c>
      <c r="BK40" s="92">
        <f>BM36</f>
        <v>4251838</v>
      </c>
      <c r="BO40" s="93" t="s">
        <v>55</v>
      </c>
      <c r="BQ40" s="92">
        <f>BS36</f>
        <v>6262440</v>
      </c>
    </row>
    <row r="41" spans="1:72">
      <c r="A41" s="93" t="s">
        <v>56</v>
      </c>
      <c r="C41" s="92">
        <f>SUM(E18:E22)</f>
        <v>4576774</v>
      </c>
      <c r="D41" s="91"/>
      <c r="E41" s="91"/>
      <c r="F41" s="91"/>
      <c r="G41" s="93" t="s">
        <v>56</v>
      </c>
      <c r="I41" s="92">
        <f>SUM(K18:K22)</f>
        <v>4742946</v>
      </c>
      <c r="M41" s="93" t="s">
        <v>56</v>
      </c>
      <c r="O41" s="92">
        <f>SUM(Q18:Q22)</f>
        <v>4475784</v>
      </c>
      <c r="S41" s="93" t="s">
        <v>56</v>
      </c>
      <c r="U41" s="92">
        <f>SUM(W18:W22)</f>
        <v>4311705</v>
      </c>
      <c r="Y41" s="93" t="s">
        <v>56</v>
      </c>
      <c r="AA41" s="92">
        <f>SUM(AC18:AC22)</f>
        <v>4162105</v>
      </c>
      <c r="AE41" s="93" t="s">
        <v>56</v>
      </c>
      <c r="AG41" s="92">
        <f>SUM(AI18:AI22)</f>
        <v>4933862</v>
      </c>
      <c r="AK41" s="93" t="s">
        <v>56</v>
      </c>
      <c r="AM41" s="92">
        <f>SUM(AO18:AO22)</f>
        <v>4496202</v>
      </c>
      <c r="AQ41" s="93" t="s">
        <v>56</v>
      </c>
      <c r="AS41" s="92">
        <f>SUM(AU18:AU22)</f>
        <v>4962016</v>
      </c>
      <c r="AW41" s="93" t="s">
        <v>56</v>
      </c>
      <c r="AY41" s="92">
        <f>SUM(BA18:BA22)</f>
        <v>5023888</v>
      </c>
      <c r="BC41" s="93" t="s">
        <v>56</v>
      </c>
      <c r="BE41" s="92">
        <f>SUM(BG18:BG22)</f>
        <v>4528173</v>
      </c>
      <c r="BI41" s="93" t="s">
        <v>56</v>
      </c>
      <c r="BK41" s="92">
        <f>SUM(BM18:BM22)</f>
        <v>4219601</v>
      </c>
      <c r="BO41" s="93" t="s">
        <v>56</v>
      </c>
      <c r="BQ41" s="92">
        <f>SUM(BS18:BS22)</f>
        <v>5181384</v>
      </c>
    </row>
    <row r="42" spans="1:72">
      <c r="A42" s="93" t="s">
        <v>57</v>
      </c>
      <c r="C42" s="92">
        <f>SUM(E23)</f>
        <v>959830</v>
      </c>
      <c r="D42" s="91"/>
      <c r="E42" s="91"/>
      <c r="F42" s="91"/>
      <c r="G42" s="93" t="s">
        <v>57</v>
      </c>
      <c r="I42" s="92">
        <f>SUM(K23)</f>
        <v>953950</v>
      </c>
      <c r="M42" s="93" t="s">
        <v>57</v>
      </c>
      <c r="O42" s="92">
        <f>SUM(Q23)</f>
        <v>922750</v>
      </c>
      <c r="S42" s="93" t="s">
        <v>57</v>
      </c>
      <c r="U42" s="92">
        <f>SUM(W23)</f>
        <v>943150</v>
      </c>
      <c r="Y42" s="93" t="s">
        <v>57</v>
      </c>
      <c r="AA42" s="92">
        <f>SUM(AC23)</f>
        <v>965350</v>
      </c>
      <c r="AE42" s="93" t="s">
        <v>57</v>
      </c>
      <c r="AG42" s="92">
        <f>SUM(AI23)</f>
        <v>1036390</v>
      </c>
      <c r="AK42" s="93" t="s">
        <v>57</v>
      </c>
      <c r="AM42" s="92">
        <f>SUM(AO23)</f>
        <v>980590</v>
      </c>
      <c r="AQ42" s="93" t="s">
        <v>57</v>
      </c>
      <c r="AS42" s="92">
        <f>SUM(AU23)</f>
        <v>1107190</v>
      </c>
      <c r="AW42" s="93" t="s">
        <v>57</v>
      </c>
      <c r="AY42" s="92">
        <f>SUM(BA23)</f>
        <v>1037110</v>
      </c>
      <c r="BC42" s="93" t="s">
        <v>57</v>
      </c>
      <c r="BE42" s="92">
        <f>SUM(BG23)</f>
        <v>1047000</v>
      </c>
      <c r="BI42" s="93" t="s">
        <v>57</v>
      </c>
      <c r="BK42" s="92">
        <f>SUM(BM23)</f>
        <v>948120</v>
      </c>
      <c r="BO42" s="93" t="s">
        <v>57</v>
      </c>
      <c r="BQ42" s="92">
        <f>SUM(BS23)</f>
        <v>1040160</v>
      </c>
    </row>
    <row r="43" spans="1:72">
      <c r="A43" s="93" t="s">
        <v>772</v>
      </c>
      <c r="C43" s="92">
        <f>SUM(E24,E26,E27,E30)</f>
        <v>563413.66</v>
      </c>
      <c r="D43" s="91"/>
      <c r="E43" s="91"/>
      <c r="F43" s="91"/>
      <c r="G43" s="93" t="s">
        <v>772</v>
      </c>
      <c r="I43" s="92">
        <f>SUM(K24,K26,K27,K30)</f>
        <v>570409.74</v>
      </c>
      <c r="M43" s="93" t="s">
        <v>772</v>
      </c>
      <c r="O43" s="92">
        <f>SUM(Q24,Q26,Q27,Q30)</f>
        <v>565212.84</v>
      </c>
      <c r="S43" s="93" t="s">
        <v>772</v>
      </c>
      <c r="U43" s="92">
        <f>SUM(W24,W26,W27,W30)</f>
        <v>556949.68000000005</v>
      </c>
      <c r="Y43" s="93" t="s">
        <v>772</v>
      </c>
      <c r="AA43" s="92">
        <f>SUM(AC24,AC26,AC27,AC30)</f>
        <v>586626.31999999995</v>
      </c>
      <c r="AE43" s="93" t="s">
        <v>772</v>
      </c>
      <c r="AG43" s="92">
        <f>SUM(AI24,AI26,AI27,AI30)</f>
        <v>622727.04</v>
      </c>
      <c r="AK43" s="93" t="s">
        <v>772</v>
      </c>
      <c r="AM43" s="92">
        <f>SUM(AO24,AO26,AO27,AO30)</f>
        <v>496280.52</v>
      </c>
      <c r="AQ43" s="93" t="s">
        <v>772</v>
      </c>
      <c r="AS43" s="92">
        <f>SUM(AU24,AU26,AU27,AU30)</f>
        <v>510661.82</v>
      </c>
      <c r="AW43" s="93" t="s">
        <v>772</v>
      </c>
      <c r="AY43" s="92">
        <f>SUM(BA24,BA26,BA27,BA30)</f>
        <v>690548.38</v>
      </c>
      <c r="BC43" s="93" t="s">
        <v>772</v>
      </c>
      <c r="BE43" s="92">
        <f>SUM(BG24,BG26,BG27,BG30)</f>
        <v>664033.06000000006</v>
      </c>
      <c r="BI43" s="93" t="s">
        <v>772</v>
      </c>
      <c r="BK43" s="92">
        <f>SUM(BM24,BM26,BM27,BM30)</f>
        <v>593745.36</v>
      </c>
      <c r="BO43" s="93" t="s">
        <v>772</v>
      </c>
      <c r="BQ43" s="92">
        <f>SUM(BS24,BS26,BS27,BS30)</f>
        <v>637524.36</v>
      </c>
    </row>
    <row r="44" spans="1:72">
      <c r="A44" s="93" t="s">
        <v>771</v>
      </c>
      <c r="C44" s="92">
        <f>E25</f>
        <v>42205</v>
      </c>
      <c r="D44" s="91"/>
      <c r="E44" s="91"/>
      <c r="F44" s="91"/>
      <c r="G44" s="93" t="s">
        <v>771</v>
      </c>
      <c r="I44" s="92">
        <f>K25</f>
        <v>34556</v>
      </c>
      <c r="M44" s="93" t="s">
        <v>771</v>
      </c>
      <c r="O44" s="92">
        <f>Q25</f>
        <v>30210</v>
      </c>
      <c r="S44" s="93" t="s">
        <v>771</v>
      </c>
      <c r="U44" s="92">
        <f>W25</f>
        <v>32607</v>
      </c>
      <c r="Y44" s="93" t="s">
        <v>771</v>
      </c>
      <c r="AA44" s="92">
        <f>AC25</f>
        <v>28438</v>
      </c>
      <c r="AE44" s="93" t="s">
        <v>771</v>
      </c>
      <c r="AG44" s="92">
        <f>AI25</f>
        <v>28584</v>
      </c>
      <c r="AK44" s="93" t="s">
        <v>771</v>
      </c>
      <c r="AM44" s="92">
        <f>AO25</f>
        <v>30726</v>
      </c>
      <c r="AQ44" s="93" t="s">
        <v>771</v>
      </c>
      <c r="AS44" s="92">
        <f>AU25</f>
        <v>26975</v>
      </c>
      <c r="AW44" s="93" t="s">
        <v>771</v>
      </c>
      <c r="AY44" s="92">
        <f>BA25</f>
        <v>33099</v>
      </c>
      <c r="BC44" s="93" t="s">
        <v>771</v>
      </c>
      <c r="BE44" s="92">
        <f>BG25</f>
        <v>31381</v>
      </c>
      <c r="BI44" s="93" t="s">
        <v>771</v>
      </c>
      <c r="BK44" s="92">
        <f>BM25</f>
        <v>29875</v>
      </c>
      <c r="BO44" s="93" t="s">
        <v>771</v>
      </c>
      <c r="BQ44" s="92">
        <f>BS25</f>
        <v>43227</v>
      </c>
    </row>
    <row r="45" spans="1:72">
      <c r="A45" s="473" t="s">
        <v>966</v>
      </c>
      <c r="B45" s="70"/>
      <c r="C45" s="71"/>
      <c r="D45" s="91"/>
      <c r="E45" s="91"/>
      <c r="F45" s="91"/>
    </row>
    <row r="46" spans="1:72">
      <c r="A46" s="474" t="s">
        <v>55</v>
      </c>
      <c r="B46" s="33"/>
      <c r="C46" s="308">
        <f>SUM(C40,I40,O40,U40,AA40,AG40,AM40,AS40,AY40,BE40,BK40,BQ40)</f>
        <v>55088756</v>
      </c>
    </row>
    <row r="47" spans="1:72">
      <c r="A47" s="474" t="s">
        <v>56</v>
      </c>
      <c r="B47" s="33"/>
      <c r="C47" s="308">
        <f>SUM(C41,I41,O41,U41,AA41,AG41,AM41,AS41,AY41,BE41,BK41,BQ41)</f>
        <v>55614440</v>
      </c>
    </row>
    <row r="48" spans="1:72">
      <c r="A48" s="474" t="s">
        <v>57</v>
      </c>
      <c r="B48" s="33"/>
      <c r="C48" s="308">
        <f t="shared" ref="C48:C50" si="0">SUM(C42,I42,O42,U42,AA42,AG42,AM42,AS42,AY42,BE42,BK42,BQ42)</f>
        <v>11941590</v>
      </c>
    </row>
    <row r="49" spans="1:3">
      <c r="A49" s="474" t="s">
        <v>772</v>
      </c>
      <c r="B49" s="33"/>
      <c r="C49" s="308">
        <f t="shared" si="0"/>
        <v>7058132.7800000012</v>
      </c>
    </row>
    <row r="50" spans="1:3">
      <c r="A50" s="475" t="s">
        <v>771</v>
      </c>
      <c r="B50" s="45"/>
      <c r="C50" s="476">
        <f t="shared" si="0"/>
        <v>391883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dimension ref="A1:BT50"/>
  <sheetViews>
    <sheetView zoomScale="50" zoomScaleNormal="50" workbookViewId="0">
      <selection sqref="A1:D1"/>
    </sheetView>
  </sheetViews>
  <sheetFormatPr defaultRowHeight="15"/>
  <cols>
    <col min="1" max="1" width="15.42578125" bestFit="1" customWidth="1"/>
    <col min="2" max="2" width="23.28515625" bestFit="1" customWidth="1"/>
    <col min="3" max="3" width="13.5703125" customWidth="1"/>
    <col min="4" max="6" width="14.140625" bestFit="1" customWidth="1"/>
    <col min="11" max="11" width="10.140625" bestFit="1" customWidth="1"/>
    <col min="17" max="17" width="10.140625" bestFit="1" customWidth="1"/>
    <col min="23" max="23" width="9.85546875" bestFit="1" customWidth="1"/>
    <col min="29" max="29" width="10.140625" bestFit="1" customWidth="1"/>
    <col min="35" max="35" width="10.140625" bestFit="1" customWidth="1"/>
    <col min="41" max="41" width="9.85546875" bestFit="1" customWidth="1"/>
    <col min="47" max="47" width="9.85546875" bestFit="1" customWidth="1"/>
    <col min="53" max="53" width="9.85546875" bestFit="1" customWidth="1"/>
    <col min="59" max="59" width="9.85546875" bestFit="1" customWidth="1"/>
    <col min="65" max="65" width="9.85546875" bestFit="1" customWidth="1"/>
    <col min="71" max="71" width="9.85546875" bestFit="1" customWidth="1"/>
  </cols>
  <sheetData>
    <row r="1" spans="1:72">
      <c r="A1" s="900" t="s">
        <v>2263</v>
      </c>
      <c r="B1" s="901"/>
      <c r="C1" s="902"/>
      <c r="D1" s="902"/>
      <c r="E1" s="12"/>
      <c r="F1" s="12"/>
      <c r="G1" s="12"/>
    </row>
    <row r="3" spans="1:72" s="1" customFormat="1">
      <c r="A3" s="1" t="s">
        <v>11</v>
      </c>
      <c r="G3" s="1" t="s">
        <v>12</v>
      </c>
      <c r="M3" s="1" t="s">
        <v>13</v>
      </c>
      <c r="S3" s="1" t="s">
        <v>14</v>
      </c>
      <c r="Y3" s="1" t="s">
        <v>15</v>
      </c>
      <c r="AE3" s="1" t="s">
        <v>16</v>
      </c>
      <c r="AK3" s="1" t="s">
        <v>17</v>
      </c>
      <c r="AQ3" s="1" t="s">
        <v>18</v>
      </c>
      <c r="AW3" s="1" t="s">
        <v>19</v>
      </c>
      <c r="BC3" s="1" t="s">
        <v>20</v>
      </c>
      <c r="BI3" s="1" t="s">
        <v>21</v>
      </c>
      <c r="BO3" s="1" t="s">
        <v>22</v>
      </c>
    </row>
    <row r="4" spans="1:72">
      <c r="A4" s="355" t="s">
        <v>718</v>
      </c>
      <c r="B4" s="91"/>
      <c r="C4" s="91"/>
      <c r="D4" s="356" t="s">
        <v>719</v>
      </c>
      <c r="E4" s="356" t="s">
        <v>720</v>
      </c>
      <c r="F4" s="356" t="s">
        <v>721</v>
      </c>
      <c r="G4" s="355" t="s">
        <v>718</v>
      </c>
      <c r="H4" s="91"/>
      <c r="I4" s="91"/>
      <c r="J4" s="356" t="s">
        <v>719</v>
      </c>
      <c r="K4" s="356" t="s">
        <v>720</v>
      </c>
      <c r="L4" s="356" t="s">
        <v>721</v>
      </c>
      <c r="M4" s="355" t="s">
        <v>718</v>
      </c>
      <c r="N4" s="91"/>
      <c r="O4" s="91"/>
      <c r="P4" s="356" t="s">
        <v>719</v>
      </c>
      <c r="Q4" s="356" t="s">
        <v>720</v>
      </c>
      <c r="R4" s="356" t="s">
        <v>721</v>
      </c>
      <c r="S4" s="355" t="s">
        <v>718</v>
      </c>
      <c r="T4" s="91"/>
      <c r="U4" s="91"/>
      <c r="V4" s="356" t="s">
        <v>719</v>
      </c>
      <c r="W4" s="356" t="s">
        <v>720</v>
      </c>
      <c r="X4" s="356" t="s">
        <v>721</v>
      </c>
      <c r="Y4" s="355" t="s">
        <v>718</v>
      </c>
      <c r="Z4" s="91"/>
      <c r="AA4" s="91"/>
      <c r="AB4" s="356" t="s">
        <v>719</v>
      </c>
      <c r="AC4" s="356" t="s">
        <v>720</v>
      </c>
      <c r="AD4" s="356" t="s">
        <v>721</v>
      </c>
      <c r="AE4" s="355" t="s">
        <v>718</v>
      </c>
      <c r="AF4" s="91"/>
      <c r="AG4" s="91"/>
      <c r="AH4" s="356" t="s">
        <v>719</v>
      </c>
      <c r="AI4" s="356" t="s">
        <v>720</v>
      </c>
      <c r="AJ4" s="356" t="s">
        <v>721</v>
      </c>
      <c r="AK4" s="355" t="s">
        <v>718</v>
      </c>
      <c r="AL4" s="91"/>
      <c r="AM4" s="91"/>
      <c r="AN4" s="356" t="s">
        <v>719</v>
      </c>
      <c r="AO4" s="356" t="s">
        <v>720</v>
      </c>
      <c r="AP4" s="356" t="s">
        <v>721</v>
      </c>
      <c r="AQ4" s="355" t="s">
        <v>718</v>
      </c>
      <c r="AR4" s="91"/>
      <c r="AS4" s="91"/>
      <c r="AT4" s="356" t="s">
        <v>719</v>
      </c>
      <c r="AU4" s="356" t="s">
        <v>720</v>
      </c>
      <c r="AV4" s="356" t="s">
        <v>721</v>
      </c>
      <c r="AW4" s="355" t="s">
        <v>718</v>
      </c>
      <c r="AX4" s="91"/>
      <c r="AY4" s="91"/>
      <c r="AZ4" s="356" t="s">
        <v>719</v>
      </c>
      <c r="BA4" s="356" t="s">
        <v>720</v>
      </c>
      <c r="BB4" s="356" t="s">
        <v>721</v>
      </c>
      <c r="BC4" s="355" t="s">
        <v>718</v>
      </c>
      <c r="BD4" s="91"/>
      <c r="BE4" s="91"/>
      <c r="BF4" s="356" t="s">
        <v>719</v>
      </c>
      <c r="BG4" s="356" t="s">
        <v>720</v>
      </c>
      <c r="BH4" s="356" t="s">
        <v>721</v>
      </c>
      <c r="BI4" s="355" t="s">
        <v>718</v>
      </c>
      <c r="BJ4" s="91"/>
      <c r="BK4" s="91"/>
      <c r="BL4" s="356" t="s">
        <v>719</v>
      </c>
      <c r="BM4" s="356" t="s">
        <v>720</v>
      </c>
      <c r="BN4" s="356" t="s">
        <v>721</v>
      </c>
      <c r="BO4" s="355" t="s">
        <v>718</v>
      </c>
      <c r="BP4" s="91"/>
      <c r="BQ4" s="91"/>
      <c r="BR4" s="356" t="s">
        <v>719</v>
      </c>
      <c r="BS4" s="356" t="s">
        <v>720</v>
      </c>
      <c r="BT4" s="356" t="s">
        <v>721</v>
      </c>
    </row>
    <row r="5" spans="1:72">
      <c r="A5" s="91"/>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357" t="s">
        <v>722</v>
      </c>
      <c r="AL5" s="357" t="s">
        <v>723</v>
      </c>
      <c r="AM5" s="91"/>
      <c r="AN5" s="358">
        <v>7</v>
      </c>
      <c r="AO5" s="358">
        <v>129946</v>
      </c>
      <c r="AP5" s="359">
        <v>205.52</v>
      </c>
      <c r="AQ5" s="357" t="s">
        <v>722</v>
      </c>
      <c r="AR5" s="357" t="s">
        <v>723</v>
      </c>
      <c r="AS5" s="91"/>
      <c r="AT5" s="358">
        <v>7</v>
      </c>
      <c r="AU5" s="358">
        <v>111611</v>
      </c>
      <c r="AV5" s="359">
        <v>198.88</v>
      </c>
      <c r="AW5" s="357" t="s">
        <v>722</v>
      </c>
      <c r="AX5" s="357" t="s">
        <v>723</v>
      </c>
      <c r="AY5" s="91"/>
      <c r="AZ5" s="358">
        <v>7</v>
      </c>
      <c r="BA5" s="358">
        <v>126296</v>
      </c>
      <c r="BB5" s="359">
        <v>195.52</v>
      </c>
      <c r="BC5" s="357" t="s">
        <v>722</v>
      </c>
      <c r="BD5" s="357" t="s">
        <v>723</v>
      </c>
      <c r="BE5" s="91"/>
      <c r="BF5" s="358">
        <v>7</v>
      </c>
      <c r="BG5" s="358">
        <v>116806</v>
      </c>
      <c r="BH5" s="359">
        <v>255.44</v>
      </c>
      <c r="BI5" s="357" t="s">
        <v>722</v>
      </c>
      <c r="BJ5" s="357" t="s">
        <v>723</v>
      </c>
      <c r="BK5" s="91"/>
      <c r="BL5" s="358">
        <v>7</v>
      </c>
      <c r="BM5" s="358">
        <v>109861</v>
      </c>
      <c r="BN5" s="359">
        <v>202.08</v>
      </c>
      <c r="BO5" s="357" t="s">
        <v>722</v>
      </c>
      <c r="BP5" s="357" t="s">
        <v>723</v>
      </c>
      <c r="BQ5" s="91"/>
      <c r="BR5" s="358">
        <v>7</v>
      </c>
      <c r="BS5" s="358">
        <v>114424</v>
      </c>
      <c r="BT5" s="359">
        <v>193.68</v>
      </c>
    </row>
    <row r="6" spans="1:72">
      <c r="A6" s="357" t="s">
        <v>722</v>
      </c>
      <c r="B6" s="357" t="s">
        <v>723</v>
      </c>
      <c r="C6" s="91"/>
      <c r="D6" s="358">
        <v>7</v>
      </c>
      <c r="E6" s="358">
        <v>95395</v>
      </c>
      <c r="F6" s="359">
        <v>170.72</v>
      </c>
      <c r="G6" s="357" t="s">
        <v>722</v>
      </c>
      <c r="H6" s="357" t="s">
        <v>723</v>
      </c>
      <c r="I6" s="91"/>
      <c r="J6" s="358">
        <v>7</v>
      </c>
      <c r="K6" s="358">
        <v>110482</v>
      </c>
      <c r="L6" s="359">
        <v>171.44</v>
      </c>
      <c r="M6" s="357" t="s">
        <v>722</v>
      </c>
      <c r="N6" s="357" t="s">
        <v>723</v>
      </c>
      <c r="O6" s="91"/>
      <c r="P6" s="358">
        <v>7</v>
      </c>
      <c r="Q6" s="358">
        <v>101965</v>
      </c>
      <c r="R6" s="359">
        <v>167.76</v>
      </c>
      <c r="S6" s="357" t="s">
        <v>722</v>
      </c>
      <c r="T6" s="357" t="s">
        <v>723</v>
      </c>
      <c r="U6" s="91"/>
      <c r="V6" s="358">
        <v>7</v>
      </c>
      <c r="W6" s="358">
        <v>146138</v>
      </c>
      <c r="X6" s="359">
        <v>201.6</v>
      </c>
      <c r="Y6" s="357" t="s">
        <v>722</v>
      </c>
      <c r="Z6" s="357" t="s">
        <v>723</v>
      </c>
      <c r="AA6" s="91"/>
      <c r="AB6" s="358">
        <v>7</v>
      </c>
      <c r="AC6" s="358">
        <v>114069</v>
      </c>
      <c r="AD6" s="359">
        <v>201.84</v>
      </c>
      <c r="AE6" s="357" t="s">
        <v>722</v>
      </c>
      <c r="AF6" s="357" t="s">
        <v>723</v>
      </c>
      <c r="AG6" s="91"/>
      <c r="AH6" s="358">
        <v>7</v>
      </c>
      <c r="AI6" s="358">
        <v>103336</v>
      </c>
      <c r="AJ6" s="359">
        <v>203.84</v>
      </c>
      <c r="AK6" s="357" t="s">
        <v>724</v>
      </c>
      <c r="AL6" s="357" t="s">
        <v>725</v>
      </c>
      <c r="AM6" s="91"/>
      <c r="AN6" s="358">
        <v>6</v>
      </c>
      <c r="AO6" s="358">
        <v>964400</v>
      </c>
      <c r="AP6" s="359">
        <v>1735.28</v>
      </c>
      <c r="AQ6" s="357" t="s">
        <v>724</v>
      </c>
      <c r="AR6" s="357" t="s">
        <v>725</v>
      </c>
      <c r="AS6" s="91"/>
      <c r="AT6" s="358">
        <v>6</v>
      </c>
      <c r="AU6" s="358">
        <v>927768</v>
      </c>
      <c r="AV6" s="359">
        <v>1941.36</v>
      </c>
      <c r="AW6" s="357" t="s">
        <v>724</v>
      </c>
      <c r="AX6" s="357" t="s">
        <v>725</v>
      </c>
      <c r="AY6" s="91"/>
      <c r="AZ6" s="358">
        <v>6</v>
      </c>
      <c r="BA6" s="358">
        <v>1243456</v>
      </c>
      <c r="BB6" s="359">
        <v>2327.36</v>
      </c>
      <c r="BC6" s="357" t="s">
        <v>724</v>
      </c>
      <c r="BD6" s="357" t="s">
        <v>725</v>
      </c>
      <c r="BE6" s="91"/>
      <c r="BF6" s="358">
        <v>6</v>
      </c>
      <c r="BG6" s="358">
        <v>1038144</v>
      </c>
      <c r="BH6" s="359">
        <v>2181.36</v>
      </c>
      <c r="BI6" s="357" t="s">
        <v>724</v>
      </c>
      <c r="BJ6" s="357" t="s">
        <v>725</v>
      </c>
      <c r="BK6" s="91"/>
      <c r="BL6" s="358">
        <v>6</v>
      </c>
      <c r="BM6" s="358">
        <v>880816</v>
      </c>
      <c r="BN6" s="359">
        <v>2094.08</v>
      </c>
      <c r="BO6" s="357" t="s">
        <v>724</v>
      </c>
      <c r="BP6" s="357" t="s">
        <v>725</v>
      </c>
      <c r="BQ6" s="91"/>
      <c r="BR6" s="358">
        <v>6</v>
      </c>
      <c r="BS6" s="358">
        <v>743016</v>
      </c>
      <c r="BT6" s="359">
        <v>1781.2</v>
      </c>
    </row>
    <row r="7" spans="1:72">
      <c r="A7" s="357" t="s">
        <v>724</v>
      </c>
      <c r="B7" s="357" t="s">
        <v>725</v>
      </c>
      <c r="C7" s="91"/>
      <c r="D7" s="358">
        <v>6</v>
      </c>
      <c r="E7" s="358">
        <v>488464</v>
      </c>
      <c r="F7" s="359">
        <v>1646.64</v>
      </c>
      <c r="G7" s="357" t="s">
        <v>724</v>
      </c>
      <c r="H7" s="357" t="s">
        <v>725</v>
      </c>
      <c r="I7" s="91"/>
      <c r="J7" s="358">
        <v>6</v>
      </c>
      <c r="K7" s="358">
        <v>808624</v>
      </c>
      <c r="L7" s="359">
        <v>1747.52</v>
      </c>
      <c r="M7" s="357" t="s">
        <v>724</v>
      </c>
      <c r="N7" s="357" t="s">
        <v>725</v>
      </c>
      <c r="O7" s="91"/>
      <c r="P7" s="358">
        <v>6</v>
      </c>
      <c r="Q7" s="358">
        <v>704856</v>
      </c>
      <c r="R7" s="359">
        <v>1687.2</v>
      </c>
      <c r="S7" s="357" t="s">
        <v>724</v>
      </c>
      <c r="T7" s="357" t="s">
        <v>725</v>
      </c>
      <c r="U7" s="91"/>
      <c r="V7" s="358">
        <v>6</v>
      </c>
      <c r="W7" s="358">
        <v>1177384</v>
      </c>
      <c r="X7" s="359">
        <v>2098.88</v>
      </c>
      <c r="Y7" s="357" t="s">
        <v>724</v>
      </c>
      <c r="Z7" s="357" t="s">
        <v>725</v>
      </c>
      <c r="AA7" s="91"/>
      <c r="AB7" s="358">
        <v>6</v>
      </c>
      <c r="AC7" s="358">
        <v>800616</v>
      </c>
      <c r="AD7" s="359">
        <v>1901.28</v>
      </c>
      <c r="AE7" s="357" t="s">
        <v>724</v>
      </c>
      <c r="AF7" s="357" t="s">
        <v>725</v>
      </c>
      <c r="AG7" s="91"/>
      <c r="AH7" s="358">
        <v>6</v>
      </c>
      <c r="AI7" s="358">
        <v>709136</v>
      </c>
      <c r="AJ7" s="359">
        <v>1732.48</v>
      </c>
      <c r="AK7" s="357"/>
      <c r="AL7" s="357"/>
      <c r="AM7" s="91"/>
      <c r="AN7" s="358"/>
      <c r="AO7" s="358"/>
      <c r="AP7" s="359"/>
      <c r="AQ7" s="357"/>
      <c r="AR7" s="357"/>
      <c r="AS7" s="91"/>
      <c r="AT7" s="358"/>
      <c r="AU7" s="358"/>
      <c r="AV7" s="359"/>
      <c r="AW7" s="357"/>
      <c r="AX7" s="357"/>
      <c r="AY7" s="91"/>
      <c r="AZ7" s="358"/>
      <c r="BA7" s="358"/>
      <c r="BB7" s="359"/>
      <c r="BC7" s="357"/>
      <c r="BD7" s="357"/>
      <c r="BE7" s="91"/>
      <c r="BF7" s="358"/>
      <c r="BG7" s="358"/>
      <c r="BH7" s="359"/>
      <c r="BI7" s="357"/>
      <c r="BJ7" s="357"/>
      <c r="BK7" s="91"/>
      <c r="BL7" s="358"/>
      <c r="BM7" s="358"/>
      <c r="BN7" s="359"/>
      <c r="BO7" s="357"/>
      <c r="BP7" s="357"/>
      <c r="BQ7" s="91"/>
      <c r="BR7" s="358"/>
      <c r="BS7" s="358"/>
      <c r="BT7" s="359"/>
    </row>
    <row r="8" spans="1:72">
      <c r="A8" s="357" t="s">
        <v>728</v>
      </c>
      <c r="B8" s="357" t="s">
        <v>729</v>
      </c>
      <c r="C8" s="91"/>
      <c r="D8" s="358">
        <v>40</v>
      </c>
      <c r="E8" s="358">
        <v>767773</v>
      </c>
      <c r="F8" s="359">
        <v>2538.9499999999998</v>
      </c>
      <c r="G8" s="357" t="s">
        <v>728</v>
      </c>
      <c r="H8" s="357" t="s">
        <v>729</v>
      </c>
      <c r="I8" s="91"/>
      <c r="J8" s="358">
        <v>40</v>
      </c>
      <c r="K8" s="358">
        <v>1913669</v>
      </c>
      <c r="L8" s="359">
        <v>3703.58</v>
      </c>
      <c r="M8" s="357" t="s">
        <v>728</v>
      </c>
      <c r="N8" s="357" t="s">
        <v>729</v>
      </c>
      <c r="O8" s="91"/>
      <c r="P8" s="358">
        <v>40</v>
      </c>
      <c r="Q8" s="358">
        <v>1449747</v>
      </c>
      <c r="R8" s="359">
        <v>3789.98</v>
      </c>
      <c r="S8" s="357" t="s">
        <v>728</v>
      </c>
      <c r="T8" s="357" t="s">
        <v>729</v>
      </c>
      <c r="U8" s="91"/>
      <c r="V8" s="358">
        <v>40</v>
      </c>
      <c r="W8" s="358">
        <v>2272836</v>
      </c>
      <c r="X8" s="359">
        <v>3669.38</v>
      </c>
      <c r="Y8" s="357" t="s">
        <v>728</v>
      </c>
      <c r="Z8" s="357" t="s">
        <v>729</v>
      </c>
      <c r="AA8" s="91"/>
      <c r="AB8" s="358">
        <v>40</v>
      </c>
      <c r="AC8" s="358">
        <v>1153660</v>
      </c>
      <c r="AD8" s="359">
        <v>3379.61</v>
      </c>
      <c r="AE8" s="357" t="s">
        <v>728</v>
      </c>
      <c r="AF8" s="357" t="s">
        <v>729</v>
      </c>
      <c r="AG8" s="91"/>
      <c r="AH8" s="358">
        <v>40</v>
      </c>
      <c r="AI8" s="358">
        <v>679983</v>
      </c>
      <c r="AJ8" s="359">
        <v>1532.55</v>
      </c>
      <c r="AK8" s="357" t="s">
        <v>728</v>
      </c>
      <c r="AL8" s="357" t="s">
        <v>729</v>
      </c>
      <c r="AM8" s="91"/>
      <c r="AN8" s="358">
        <v>40</v>
      </c>
      <c r="AO8" s="358">
        <v>920030</v>
      </c>
      <c r="AP8" s="359">
        <v>1808.63</v>
      </c>
      <c r="AQ8" s="357" t="s">
        <v>728</v>
      </c>
      <c r="AR8" s="357" t="s">
        <v>729</v>
      </c>
      <c r="AS8" s="91"/>
      <c r="AT8" s="358">
        <v>40</v>
      </c>
      <c r="AU8" s="358">
        <v>867933</v>
      </c>
      <c r="AV8" s="359">
        <v>2111.4299999999998</v>
      </c>
      <c r="AW8" s="357" t="s">
        <v>728</v>
      </c>
      <c r="AX8" s="357" t="s">
        <v>729</v>
      </c>
      <c r="AY8" s="91"/>
      <c r="AZ8" s="358">
        <v>40</v>
      </c>
      <c r="BA8" s="358">
        <v>2162667</v>
      </c>
      <c r="BB8" s="359">
        <v>4009.77</v>
      </c>
      <c r="BC8" s="357" t="s">
        <v>728</v>
      </c>
      <c r="BD8" s="357" t="s">
        <v>729</v>
      </c>
      <c r="BE8" s="91"/>
      <c r="BF8" s="358">
        <v>40</v>
      </c>
      <c r="BG8" s="358">
        <v>1808971</v>
      </c>
      <c r="BH8" s="359">
        <v>3887.51</v>
      </c>
      <c r="BI8" s="357" t="s">
        <v>728</v>
      </c>
      <c r="BJ8" s="357" t="s">
        <v>729</v>
      </c>
      <c r="BK8" s="91"/>
      <c r="BL8" s="358">
        <v>40</v>
      </c>
      <c r="BM8" s="358">
        <v>1770377</v>
      </c>
      <c r="BN8" s="359">
        <v>3721.29</v>
      </c>
      <c r="BO8" s="357" t="s">
        <v>728</v>
      </c>
      <c r="BP8" s="357" t="s">
        <v>729</v>
      </c>
      <c r="BQ8" s="91"/>
      <c r="BR8" s="358">
        <v>40</v>
      </c>
      <c r="BS8" s="358">
        <v>1485239</v>
      </c>
      <c r="BT8" s="359">
        <v>3555.09</v>
      </c>
    </row>
    <row r="9" spans="1:72">
      <c r="A9" s="357" t="s">
        <v>730</v>
      </c>
      <c r="B9" s="357" t="s">
        <v>731</v>
      </c>
      <c r="C9" s="91"/>
      <c r="D9" s="358">
        <v>17</v>
      </c>
      <c r="E9" s="358">
        <v>811611</v>
      </c>
      <c r="F9" s="359">
        <v>2180.56</v>
      </c>
      <c r="G9" s="357" t="s">
        <v>730</v>
      </c>
      <c r="H9" s="357" t="s">
        <v>731</v>
      </c>
      <c r="I9" s="91"/>
      <c r="J9" s="358">
        <v>17</v>
      </c>
      <c r="K9" s="358">
        <v>969511</v>
      </c>
      <c r="L9" s="359">
        <v>2573.36</v>
      </c>
      <c r="M9" s="357" t="s">
        <v>730</v>
      </c>
      <c r="N9" s="357" t="s">
        <v>731</v>
      </c>
      <c r="O9" s="91"/>
      <c r="P9" s="358">
        <v>17</v>
      </c>
      <c r="Q9" s="358">
        <v>853458</v>
      </c>
      <c r="R9" s="359">
        <v>2334.2399999999998</v>
      </c>
      <c r="S9" s="357" t="s">
        <v>730</v>
      </c>
      <c r="T9" s="357" t="s">
        <v>731</v>
      </c>
      <c r="U9" s="91"/>
      <c r="V9" s="358">
        <v>17</v>
      </c>
      <c r="W9" s="358">
        <v>1225199</v>
      </c>
      <c r="X9" s="359">
        <v>2566.86</v>
      </c>
      <c r="Y9" s="357" t="s">
        <v>730</v>
      </c>
      <c r="Z9" s="357" t="s">
        <v>731</v>
      </c>
      <c r="AA9" s="91"/>
      <c r="AB9" s="358">
        <v>17</v>
      </c>
      <c r="AC9" s="358">
        <v>1007265</v>
      </c>
      <c r="AD9" s="359">
        <v>4020.53</v>
      </c>
      <c r="AE9" s="357" t="s">
        <v>730</v>
      </c>
      <c r="AF9" s="357" t="s">
        <v>731</v>
      </c>
      <c r="AG9" s="91"/>
      <c r="AH9" s="358">
        <v>17</v>
      </c>
      <c r="AI9" s="358">
        <v>895853</v>
      </c>
      <c r="AJ9" s="359">
        <v>2410.04</v>
      </c>
      <c r="AK9" s="357" t="s">
        <v>730</v>
      </c>
      <c r="AL9" s="357" t="s">
        <v>731</v>
      </c>
      <c r="AM9" s="91"/>
      <c r="AN9" s="358">
        <v>17</v>
      </c>
      <c r="AO9" s="358">
        <v>1222992</v>
      </c>
      <c r="AP9" s="359">
        <v>2830.08</v>
      </c>
      <c r="AQ9" s="357" t="s">
        <v>730</v>
      </c>
      <c r="AR9" s="357" t="s">
        <v>731</v>
      </c>
      <c r="AS9" s="91"/>
      <c r="AT9" s="358">
        <v>17</v>
      </c>
      <c r="AU9" s="358">
        <v>1190966</v>
      </c>
      <c r="AV9" s="359">
        <v>4056.43</v>
      </c>
      <c r="AW9" s="357" t="s">
        <v>730</v>
      </c>
      <c r="AX9" s="357" t="s">
        <v>731</v>
      </c>
      <c r="AY9" s="91"/>
      <c r="AZ9" s="358">
        <v>17</v>
      </c>
      <c r="BA9" s="358">
        <v>1540933</v>
      </c>
      <c r="BB9" s="359">
        <v>4818.43</v>
      </c>
      <c r="BC9" s="357" t="s">
        <v>730</v>
      </c>
      <c r="BD9" s="357" t="s">
        <v>731</v>
      </c>
      <c r="BE9" s="91"/>
      <c r="BF9" s="358">
        <v>17</v>
      </c>
      <c r="BG9" s="358">
        <v>1245427</v>
      </c>
      <c r="BH9" s="359">
        <v>4136.78</v>
      </c>
      <c r="BI9" s="357" t="s">
        <v>730</v>
      </c>
      <c r="BJ9" s="357" t="s">
        <v>731</v>
      </c>
      <c r="BK9" s="91"/>
      <c r="BL9" s="358">
        <v>17</v>
      </c>
      <c r="BM9" s="358">
        <v>1142253</v>
      </c>
      <c r="BN9" s="359">
        <v>5016.49</v>
      </c>
      <c r="BO9" s="357" t="s">
        <v>730</v>
      </c>
      <c r="BP9" s="357" t="s">
        <v>731</v>
      </c>
      <c r="BQ9" s="91"/>
      <c r="BR9" s="358">
        <v>17</v>
      </c>
      <c r="BS9" s="358">
        <v>1144412</v>
      </c>
      <c r="BT9" s="359">
        <v>4851</v>
      </c>
    </row>
    <row r="10" spans="1:72">
      <c r="A10" s="357" t="s">
        <v>732</v>
      </c>
      <c r="B10" s="357" t="s">
        <v>733</v>
      </c>
      <c r="C10" s="91"/>
      <c r="D10" s="358">
        <v>16</v>
      </c>
      <c r="E10" s="358">
        <v>989667</v>
      </c>
      <c r="F10" s="359">
        <v>2275.5300000000002</v>
      </c>
      <c r="G10" s="357" t="s">
        <v>732</v>
      </c>
      <c r="H10" s="357" t="s">
        <v>733</v>
      </c>
      <c r="I10" s="91"/>
      <c r="J10" s="358">
        <v>16</v>
      </c>
      <c r="K10" s="358">
        <v>1203498</v>
      </c>
      <c r="L10" s="359">
        <v>2786.85</v>
      </c>
      <c r="M10" s="357" t="s">
        <v>732</v>
      </c>
      <c r="N10" s="357" t="s">
        <v>733</v>
      </c>
      <c r="O10" s="91"/>
      <c r="P10" s="358">
        <v>16</v>
      </c>
      <c r="Q10" s="358">
        <v>1024796</v>
      </c>
      <c r="R10" s="359">
        <v>2950.73</v>
      </c>
      <c r="S10" s="357" t="s">
        <v>732</v>
      </c>
      <c r="T10" s="357" t="s">
        <v>733</v>
      </c>
      <c r="U10" s="91"/>
      <c r="V10" s="358">
        <v>16</v>
      </c>
      <c r="W10" s="358">
        <v>1683800</v>
      </c>
      <c r="X10" s="359">
        <v>2840.76</v>
      </c>
      <c r="Y10" s="357" t="s">
        <v>732</v>
      </c>
      <c r="Z10" s="357" t="s">
        <v>733</v>
      </c>
      <c r="AA10" s="91"/>
      <c r="AB10" s="358">
        <v>16</v>
      </c>
      <c r="AC10" s="358">
        <v>1202043</v>
      </c>
      <c r="AD10" s="359">
        <v>2794.93</v>
      </c>
      <c r="AE10" s="357" t="s">
        <v>732</v>
      </c>
      <c r="AF10" s="357" t="s">
        <v>733</v>
      </c>
      <c r="AG10" s="91"/>
      <c r="AH10" s="358">
        <v>16</v>
      </c>
      <c r="AI10" s="358">
        <v>1082488</v>
      </c>
      <c r="AJ10" s="359">
        <v>2669.07</v>
      </c>
      <c r="AK10" s="357" t="s">
        <v>732</v>
      </c>
      <c r="AL10" s="357" t="s">
        <v>733</v>
      </c>
      <c r="AM10" s="91"/>
      <c r="AN10" s="358">
        <v>16</v>
      </c>
      <c r="AO10" s="358">
        <v>1497115</v>
      </c>
      <c r="AP10" s="359">
        <v>3046.93</v>
      </c>
      <c r="AQ10" s="357" t="s">
        <v>732</v>
      </c>
      <c r="AR10" s="357" t="s">
        <v>733</v>
      </c>
      <c r="AS10" s="91"/>
      <c r="AT10" s="358">
        <v>16</v>
      </c>
      <c r="AU10" s="358">
        <v>1360946</v>
      </c>
      <c r="AV10" s="359">
        <v>3116.25</v>
      </c>
      <c r="AW10" s="357" t="s">
        <v>732</v>
      </c>
      <c r="AX10" s="357" t="s">
        <v>733</v>
      </c>
      <c r="AY10" s="91"/>
      <c r="AZ10" s="358">
        <v>17</v>
      </c>
      <c r="BA10" s="358">
        <v>1639052</v>
      </c>
      <c r="BB10" s="359">
        <v>3160.24</v>
      </c>
      <c r="BC10" s="357" t="s">
        <v>732</v>
      </c>
      <c r="BD10" s="357" t="s">
        <v>733</v>
      </c>
      <c r="BE10" s="91"/>
      <c r="BF10" s="358">
        <v>17</v>
      </c>
      <c r="BG10" s="358">
        <v>1445075</v>
      </c>
      <c r="BH10" s="359">
        <v>3180.55</v>
      </c>
      <c r="BI10" s="357" t="s">
        <v>732</v>
      </c>
      <c r="BJ10" s="357" t="s">
        <v>733</v>
      </c>
      <c r="BK10" s="91"/>
      <c r="BL10" s="358">
        <v>16</v>
      </c>
      <c r="BM10" s="358">
        <v>1276569</v>
      </c>
      <c r="BN10" s="359">
        <v>3001.16</v>
      </c>
      <c r="BO10" s="357" t="s">
        <v>732</v>
      </c>
      <c r="BP10" s="357" t="s">
        <v>733</v>
      </c>
      <c r="BQ10" s="91"/>
      <c r="BR10" s="358">
        <v>16</v>
      </c>
      <c r="BS10" s="358">
        <v>1181521</v>
      </c>
      <c r="BT10" s="359">
        <v>2823.05</v>
      </c>
    </row>
    <row r="11" spans="1:72">
      <c r="A11" s="360" t="s">
        <v>734</v>
      </c>
      <c r="B11" s="91"/>
      <c r="C11" s="91"/>
      <c r="D11" s="358">
        <v>86</v>
      </c>
      <c r="E11" s="358">
        <v>3152910</v>
      </c>
      <c r="F11" s="359">
        <v>8812.4</v>
      </c>
      <c r="G11" s="360" t="s">
        <v>734</v>
      </c>
      <c r="H11" s="91"/>
      <c r="I11" s="91"/>
      <c r="J11" s="358">
        <v>86</v>
      </c>
      <c r="K11" s="358">
        <v>5005784</v>
      </c>
      <c r="L11" s="359">
        <v>10982.75</v>
      </c>
      <c r="M11" s="360" t="s">
        <v>734</v>
      </c>
      <c r="N11" s="91"/>
      <c r="O11" s="91"/>
      <c r="P11" s="358">
        <v>86</v>
      </c>
      <c r="Q11" s="358">
        <v>4134822</v>
      </c>
      <c r="R11" s="359">
        <v>10929.91</v>
      </c>
      <c r="S11" s="360" t="s">
        <v>734</v>
      </c>
      <c r="T11" s="91"/>
      <c r="U11" s="91"/>
      <c r="V11" s="358">
        <v>86</v>
      </c>
      <c r="W11" s="358">
        <v>6505357</v>
      </c>
      <c r="X11" s="359">
        <v>11377.48</v>
      </c>
      <c r="Y11" s="360" t="s">
        <v>734</v>
      </c>
      <c r="Z11" s="91"/>
      <c r="AA11" s="91"/>
      <c r="AB11" s="358">
        <v>86</v>
      </c>
      <c r="AC11" s="358">
        <v>4277653</v>
      </c>
      <c r="AD11" s="359">
        <v>12298.19</v>
      </c>
      <c r="AE11" s="360" t="s">
        <v>734</v>
      </c>
      <c r="AF11" s="91"/>
      <c r="AG11" s="91"/>
      <c r="AH11" s="358">
        <v>86</v>
      </c>
      <c r="AI11" s="358">
        <v>3470796</v>
      </c>
      <c r="AJ11" s="359">
        <v>8547.98</v>
      </c>
      <c r="AK11" s="360" t="s">
        <v>734</v>
      </c>
      <c r="AL11" s="91"/>
      <c r="AM11" s="91"/>
      <c r="AN11" s="358">
        <v>86</v>
      </c>
      <c r="AO11" s="358">
        <v>4734483</v>
      </c>
      <c r="AP11" s="359">
        <v>9626.44</v>
      </c>
      <c r="AQ11" s="360" t="s">
        <v>734</v>
      </c>
      <c r="AR11" s="91"/>
      <c r="AS11" s="91"/>
      <c r="AT11" s="358">
        <v>86</v>
      </c>
      <c r="AU11" s="358">
        <v>4459224</v>
      </c>
      <c r="AV11" s="359">
        <v>11424.35</v>
      </c>
      <c r="AW11" s="360" t="s">
        <v>734</v>
      </c>
      <c r="AX11" s="91"/>
      <c r="AY11" s="91"/>
      <c r="AZ11" s="358">
        <v>87</v>
      </c>
      <c r="BA11" s="358">
        <v>6712404</v>
      </c>
      <c r="BB11" s="359">
        <v>14511.32</v>
      </c>
      <c r="BC11" s="360" t="s">
        <v>734</v>
      </c>
      <c r="BD11" s="91"/>
      <c r="BE11" s="91"/>
      <c r="BF11" s="358">
        <v>87</v>
      </c>
      <c r="BG11" s="358">
        <v>5654423</v>
      </c>
      <c r="BH11" s="359">
        <v>13641.64</v>
      </c>
      <c r="BI11" s="360" t="s">
        <v>734</v>
      </c>
      <c r="BJ11" s="91"/>
      <c r="BK11" s="91"/>
      <c r="BL11" s="358">
        <v>86</v>
      </c>
      <c r="BM11" s="358">
        <v>5179876</v>
      </c>
      <c r="BN11" s="359">
        <v>14035.1</v>
      </c>
      <c r="BO11" s="360" t="s">
        <v>734</v>
      </c>
      <c r="BP11" s="91"/>
      <c r="BQ11" s="91"/>
      <c r="BR11" s="358">
        <v>86</v>
      </c>
      <c r="BS11" s="358">
        <v>4668612</v>
      </c>
      <c r="BT11" s="359">
        <v>13204.02</v>
      </c>
    </row>
    <row r="12" spans="1:72">
      <c r="A12" s="91"/>
      <c r="B12" s="91"/>
      <c r="C12" s="91"/>
      <c r="D12" s="9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row>
    <row r="13" spans="1:72">
      <c r="A13" s="357" t="s">
        <v>735</v>
      </c>
      <c r="B13" s="357" t="s">
        <v>736</v>
      </c>
      <c r="C13" s="91"/>
      <c r="D13" s="358">
        <v>219</v>
      </c>
      <c r="E13" s="358">
        <v>9088977</v>
      </c>
      <c r="F13" s="359">
        <v>19045.61</v>
      </c>
      <c r="G13" s="357" t="s">
        <v>735</v>
      </c>
      <c r="H13" s="357" t="s">
        <v>736</v>
      </c>
      <c r="I13" s="91"/>
      <c r="J13" s="358">
        <v>219</v>
      </c>
      <c r="K13" s="358">
        <v>11256486</v>
      </c>
      <c r="L13" s="359">
        <v>21196.75</v>
      </c>
      <c r="M13" s="357" t="s">
        <v>735</v>
      </c>
      <c r="N13" s="357" t="s">
        <v>736</v>
      </c>
      <c r="O13" s="91"/>
      <c r="P13" s="358">
        <v>220</v>
      </c>
      <c r="Q13" s="358">
        <v>10154664</v>
      </c>
      <c r="R13" s="359">
        <v>23692.09</v>
      </c>
      <c r="S13" s="357" t="s">
        <v>735</v>
      </c>
      <c r="T13" s="357" t="s">
        <v>736</v>
      </c>
      <c r="U13" s="91"/>
      <c r="V13" s="358">
        <v>218</v>
      </c>
      <c r="W13" s="358">
        <v>13816530</v>
      </c>
      <c r="X13" s="359">
        <v>56083.03</v>
      </c>
      <c r="Y13" s="357" t="s">
        <v>735</v>
      </c>
      <c r="Z13" s="357" t="s">
        <v>736</v>
      </c>
      <c r="AA13" s="91"/>
      <c r="AB13" s="358">
        <v>219</v>
      </c>
      <c r="AC13" s="358">
        <v>10507597</v>
      </c>
      <c r="AD13" s="359">
        <v>-9038.66</v>
      </c>
      <c r="AE13" s="357" t="s">
        <v>735</v>
      </c>
      <c r="AF13" s="357" t="s">
        <v>736</v>
      </c>
      <c r="AG13" s="91"/>
      <c r="AH13" s="358">
        <v>220</v>
      </c>
      <c r="AI13" s="358">
        <v>9605095</v>
      </c>
      <c r="AJ13" s="359">
        <v>25662.22</v>
      </c>
      <c r="AK13" s="357" t="s">
        <v>735</v>
      </c>
      <c r="AL13" s="357" t="s">
        <v>736</v>
      </c>
      <c r="AM13" s="91"/>
      <c r="AN13" s="358">
        <v>219</v>
      </c>
      <c r="AO13" s="358">
        <v>12728428</v>
      </c>
      <c r="AP13" s="359">
        <v>38939.1</v>
      </c>
      <c r="AQ13" s="357" t="s">
        <v>735</v>
      </c>
      <c r="AR13" s="357" t="s">
        <v>736</v>
      </c>
      <c r="AS13" s="91"/>
      <c r="AT13" s="358">
        <v>220</v>
      </c>
      <c r="AU13" s="358">
        <v>12039969</v>
      </c>
      <c r="AV13" s="359">
        <v>26071.9</v>
      </c>
      <c r="AW13" s="357" t="s">
        <v>735</v>
      </c>
      <c r="AX13" s="357" t="s">
        <v>736</v>
      </c>
      <c r="AY13" s="91"/>
      <c r="AZ13" s="358">
        <v>226</v>
      </c>
      <c r="BA13" s="358">
        <v>14119158</v>
      </c>
      <c r="BB13" s="359">
        <v>26133.55</v>
      </c>
      <c r="BC13" s="357" t="s">
        <v>735</v>
      </c>
      <c r="BD13" s="357" t="s">
        <v>736</v>
      </c>
      <c r="BE13" s="91"/>
      <c r="BF13" s="358">
        <v>226</v>
      </c>
      <c r="BG13" s="358">
        <v>11697308</v>
      </c>
      <c r="BH13" s="359">
        <v>26323.61</v>
      </c>
      <c r="BI13" s="357" t="s">
        <v>735</v>
      </c>
      <c r="BJ13" s="357" t="s">
        <v>736</v>
      </c>
      <c r="BK13" s="91"/>
      <c r="BL13" s="358">
        <v>225</v>
      </c>
      <c r="BM13" s="358">
        <v>10889925</v>
      </c>
      <c r="BN13" s="359">
        <v>25344.85</v>
      </c>
      <c r="BO13" s="357" t="s">
        <v>735</v>
      </c>
      <c r="BP13" s="357" t="s">
        <v>736</v>
      </c>
      <c r="BQ13" s="91"/>
      <c r="BR13" s="358">
        <v>226</v>
      </c>
      <c r="BS13" s="358">
        <v>11245762</v>
      </c>
      <c r="BT13" s="359">
        <v>25203.86</v>
      </c>
    </row>
    <row r="14" spans="1:72">
      <c r="A14" s="357" t="s">
        <v>737</v>
      </c>
      <c r="B14" s="357" t="s">
        <v>738</v>
      </c>
      <c r="C14" s="91"/>
      <c r="D14" s="358">
        <v>2</v>
      </c>
      <c r="E14" s="358">
        <v>676800</v>
      </c>
      <c r="F14" s="359">
        <v>1317.6</v>
      </c>
      <c r="G14" s="357" t="s">
        <v>737</v>
      </c>
      <c r="H14" s="357" t="s">
        <v>738</v>
      </c>
      <c r="I14" s="91"/>
      <c r="J14" s="358">
        <v>2</v>
      </c>
      <c r="K14" s="358">
        <v>871200</v>
      </c>
      <c r="L14" s="359">
        <v>1764</v>
      </c>
      <c r="M14" s="357" t="s">
        <v>737</v>
      </c>
      <c r="N14" s="357" t="s">
        <v>738</v>
      </c>
      <c r="O14" s="91"/>
      <c r="P14" s="358">
        <v>2</v>
      </c>
      <c r="Q14" s="358">
        <v>788400</v>
      </c>
      <c r="R14" s="359">
        <v>1749.6</v>
      </c>
      <c r="S14" s="357" t="s">
        <v>737</v>
      </c>
      <c r="T14" s="357" t="s">
        <v>738</v>
      </c>
      <c r="U14" s="91"/>
      <c r="V14" s="358">
        <v>2</v>
      </c>
      <c r="W14" s="358">
        <v>977040</v>
      </c>
      <c r="X14" s="359">
        <v>1497.6</v>
      </c>
      <c r="Y14" s="357" t="s">
        <v>737</v>
      </c>
      <c r="Z14" s="357" t="s">
        <v>738</v>
      </c>
      <c r="AA14" s="91"/>
      <c r="AB14" s="358">
        <v>2</v>
      </c>
      <c r="AC14" s="358">
        <v>470880</v>
      </c>
      <c r="AD14" s="359">
        <v>1094.4000000000001</v>
      </c>
      <c r="AE14" s="357" t="s">
        <v>737</v>
      </c>
      <c r="AF14" s="357" t="s">
        <v>738</v>
      </c>
      <c r="AG14" s="91"/>
      <c r="AH14" s="358">
        <v>2</v>
      </c>
      <c r="AI14" s="358">
        <v>258480</v>
      </c>
      <c r="AJ14" s="359">
        <v>799.2</v>
      </c>
      <c r="AK14" s="357" t="s">
        <v>737</v>
      </c>
      <c r="AL14" s="357" t="s">
        <v>738</v>
      </c>
      <c r="AM14" s="91"/>
      <c r="AN14" s="358">
        <v>2</v>
      </c>
      <c r="AO14" s="358">
        <v>311760</v>
      </c>
      <c r="AP14" s="359">
        <v>741.6</v>
      </c>
      <c r="AQ14" s="357" t="s">
        <v>737</v>
      </c>
      <c r="AR14" s="357" t="s">
        <v>738</v>
      </c>
      <c r="AS14" s="91"/>
      <c r="AT14" s="358">
        <v>2</v>
      </c>
      <c r="AU14" s="358">
        <v>267840</v>
      </c>
      <c r="AV14" s="359">
        <v>547.20000000000005</v>
      </c>
      <c r="AW14" s="357" t="s">
        <v>737</v>
      </c>
      <c r="AX14" s="357" t="s">
        <v>738</v>
      </c>
      <c r="AY14" s="91"/>
      <c r="AZ14" s="358">
        <v>2</v>
      </c>
      <c r="BA14" s="358">
        <v>332640</v>
      </c>
      <c r="BB14" s="359">
        <v>576</v>
      </c>
      <c r="BC14" s="357" t="s">
        <v>737</v>
      </c>
      <c r="BD14" s="357" t="s">
        <v>738</v>
      </c>
      <c r="BE14" s="91"/>
      <c r="BF14" s="358">
        <v>2</v>
      </c>
      <c r="BG14" s="358">
        <v>352800</v>
      </c>
      <c r="BH14" s="359">
        <v>1101.5999999999999</v>
      </c>
      <c r="BI14" s="357" t="s">
        <v>737</v>
      </c>
      <c r="BJ14" s="357" t="s">
        <v>738</v>
      </c>
      <c r="BK14" s="91"/>
      <c r="BL14" s="358">
        <v>2</v>
      </c>
      <c r="BM14" s="358">
        <v>596160</v>
      </c>
      <c r="BN14" s="359">
        <v>1130.4000000000001</v>
      </c>
      <c r="BO14" s="357" t="s">
        <v>737</v>
      </c>
      <c r="BP14" s="357" t="s">
        <v>738</v>
      </c>
      <c r="BQ14" s="91"/>
      <c r="BR14" s="358">
        <v>2</v>
      </c>
      <c r="BS14" s="358">
        <v>725760</v>
      </c>
      <c r="BT14" s="359">
        <v>1447.2</v>
      </c>
    </row>
    <row r="15" spans="1:72">
      <c r="A15" s="360" t="s">
        <v>739</v>
      </c>
      <c r="B15" s="91"/>
      <c r="C15" s="91"/>
      <c r="D15" s="358">
        <v>221</v>
      </c>
      <c r="E15" s="358">
        <v>9765777</v>
      </c>
      <c r="F15" s="359">
        <v>20363.21</v>
      </c>
      <c r="G15" s="360" t="s">
        <v>739</v>
      </c>
      <c r="H15" s="91"/>
      <c r="I15" s="91"/>
      <c r="J15" s="358">
        <v>221</v>
      </c>
      <c r="K15" s="358">
        <v>12127686</v>
      </c>
      <c r="L15" s="359">
        <v>22960.75</v>
      </c>
      <c r="M15" s="360" t="s">
        <v>739</v>
      </c>
      <c r="N15" s="91"/>
      <c r="O15" s="91"/>
      <c r="P15" s="358">
        <v>222</v>
      </c>
      <c r="Q15" s="358">
        <v>10943064</v>
      </c>
      <c r="R15" s="359">
        <v>25441.69</v>
      </c>
      <c r="S15" s="360" t="s">
        <v>739</v>
      </c>
      <c r="T15" s="91"/>
      <c r="U15" s="91"/>
      <c r="V15" s="358">
        <v>220</v>
      </c>
      <c r="W15" s="358">
        <v>14793570</v>
      </c>
      <c r="X15" s="359">
        <v>57580.63</v>
      </c>
      <c r="Y15" s="360" t="s">
        <v>739</v>
      </c>
      <c r="Z15" s="91"/>
      <c r="AA15" s="91"/>
      <c r="AB15" s="358">
        <v>221</v>
      </c>
      <c r="AC15" s="358">
        <v>10978477</v>
      </c>
      <c r="AD15" s="359">
        <v>-7944.26</v>
      </c>
      <c r="AE15" s="360" t="s">
        <v>739</v>
      </c>
      <c r="AF15" s="91"/>
      <c r="AG15" s="91"/>
      <c r="AH15" s="358">
        <v>222</v>
      </c>
      <c r="AI15" s="358">
        <v>9863575</v>
      </c>
      <c r="AJ15" s="359">
        <v>26461.42</v>
      </c>
      <c r="AK15" s="360" t="s">
        <v>739</v>
      </c>
      <c r="AL15" s="91"/>
      <c r="AM15" s="91"/>
      <c r="AN15" s="358">
        <v>221</v>
      </c>
      <c r="AO15" s="358">
        <v>13040188</v>
      </c>
      <c r="AP15" s="359">
        <v>39680.699999999997</v>
      </c>
      <c r="AQ15" s="360" t="s">
        <v>739</v>
      </c>
      <c r="AR15" s="91"/>
      <c r="AS15" s="91"/>
      <c r="AT15" s="358">
        <v>222</v>
      </c>
      <c r="AU15" s="358">
        <v>12307809</v>
      </c>
      <c r="AV15" s="359">
        <v>26619.1</v>
      </c>
      <c r="AW15" s="360" t="s">
        <v>739</v>
      </c>
      <c r="AX15" s="91"/>
      <c r="AY15" s="91"/>
      <c r="AZ15" s="358">
        <v>228</v>
      </c>
      <c r="BA15" s="358">
        <v>14451798</v>
      </c>
      <c r="BB15" s="359">
        <v>26709.55</v>
      </c>
      <c r="BC15" s="360" t="s">
        <v>739</v>
      </c>
      <c r="BD15" s="91"/>
      <c r="BE15" s="91"/>
      <c r="BF15" s="358">
        <v>228</v>
      </c>
      <c r="BG15" s="358">
        <v>12050108</v>
      </c>
      <c r="BH15" s="359">
        <v>27425.21</v>
      </c>
      <c r="BI15" s="360" t="s">
        <v>739</v>
      </c>
      <c r="BJ15" s="91"/>
      <c r="BK15" s="91"/>
      <c r="BL15" s="358">
        <v>227</v>
      </c>
      <c r="BM15" s="358">
        <v>11486085</v>
      </c>
      <c r="BN15" s="359">
        <v>26475.25</v>
      </c>
      <c r="BO15" s="360" t="s">
        <v>739</v>
      </c>
      <c r="BP15" s="91"/>
      <c r="BQ15" s="91"/>
      <c r="BR15" s="358">
        <v>228</v>
      </c>
      <c r="BS15" s="358">
        <v>11971522</v>
      </c>
      <c r="BT15" s="359">
        <v>26651.06</v>
      </c>
    </row>
    <row r="16" spans="1:72">
      <c r="A16" s="91"/>
      <c r="B16" s="91"/>
      <c r="C16" s="91"/>
      <c r="D16" s="91"/>
      <c r="E16" s="92">
        <f>E11+E15</f>
        <v>12918687</v>
      </c>
      <c r="F16" s="91"/>
      <c r="G16" s="91"/>
      <c r="H16" s="91"/>
      <c r="I16" s="91"/>
      <c r="J16" s="91"/>
      <c r="K16" s="92">
        <f>K11+K15</f>
        <v>17133470</v>
      </c>
      <c r="L16" s="91"/>
      <c r="M16" s="91"/>
      <c r="N16" s="91"/>
      <c r="O16" s="91"/>
      <c r="P16" s="91"/>
      <c r="Q16" s="92">
        <f>Q11+Q15</f>
        <v>15077886</v>
      </c>
      <c r="R16" s="91"/>
      <c r="S16" s="91"/>
      <c r="T16" s="91"/>
      <c r="U16" s="91"/>
      <c r="V16" s="91"/>
      <c r="W16" s="92">
        <f>W11+W15</f>
        <v>21298927</v>
      </c>
      <c r="X16" s="91"/>
      <c r="Y16" s="91"/>
      <c r="Z16" s="91"/>
      <c r="AA16" s="91"/>
      <c r="AB16" s="91"/>
      <c r="AC16" s="92">
        <f>AC11+AC15</f>
        <v>15256130</v>
      </c>
      <c r="AD16" s="91"/>
      <c r="AE16" s="91"/>
      <c r="AF16" s="91"/>
      <c r="AG16" s="91"/>
      <c r="AH16" s="91"/>
      <c r="AI16" s="92">
        <f>AI11+AI15</f>
        <v>13334371</v>
      </c>
      <c r="AJ16" s="91"/>
      <c r="AK16" s="91"/>
      <c r="AL16" s="91"/>
      <c r="AM16" s="91"/>
      <c r="AN16" s="91"/>
      <c r="AO16" s="92">
        <f>AO11+AO15</f>
        <v>17774671</v>
      </c>
      <c r="AP16" s="91"/>
      <c r="AQ16" s="91"/>
      <c r="AR16" s="91"/>
      <c r="AS16" s="91"/>
      <c r="AT16" s="91"/>
      <c r="AU16" s="92">
        <f>AU11+AU15</f>
        <v>16767033</v>
      </c>
      <c r="AV16" s="91"/>
      <c r="AW16" s="91"/>
      <c r="AX16" s="91"/>
      <c r="AY16" s="91"/>
      <c r="AZ16" s="91"/>
      <c r="BA16" s="92">
        <f>BA11+BA15</f>
        <v>21164202</v>
      </c>
      <c r="BB16" s="91"/>
      <c r="BC16" s="91"/>
      <c r="BD16" s="91"/>
      <c r="BE16" s="91"/>
      <c r="BF16" s="91"/>
      <c r="BG16" s="92">
        <f>BG11+BG15</f>
        <v>17704531</v>
      </c>
      <c r="BH16" s="91"/>
      <c r="BI16" s="91"/>
      <c r="BJ16" s="91"/>
      <c r="BK16" s="91"/>
      <c r="BL16" s="91"/>
      <c r="BM16" s="92">
        <f>BM11+BM15</f>
        <v>16665961</v>
      </c>
      <c r="BN16" s="91"/>
      <c r="BO16" s="91"/>
      <c r="BP16" s="91"/>
      <c r="BQ16" s="91"/>
      <c r="BR16" s="91"/>
      <c r="BS16" s="92">
        <f>BS11+BS15</f>
        <v>16640134</v>
      </c>
      <c r="BT16" s="91"/>
    </row>
    <row r="17" spans="1:72">
      <c r="A17" s="357" t="s">
        <v>740</v>
      </c>
      <c r="B17" s="357" t="s">
        <v>741</v>
      </c>
      <c r="C17" s="91"/>
      <c r="D17" s="358">
        <v>4</v>
      </c>
      <c r="E17" s="358">
        <v>78896</v>
      </c>
      <c r="F17" s="359">
        <v>235.28</v>
      </c>
      <c r="G17" s="357" t="s">
        <v>740</v>
      </c>
      <c r="H17" s="357" t="s">
        <v>741</v>
      </c>
      <c r="I17" s="91"/>
      <c r="J17" s="358">
        <v>4</v>
      </c>
      <c r="K17" s="358">
        <v>114016</v>
      </c>
      <c r="L17" s="359">
        <v>371.52</v>
      </c>
      <c r="M17" s="357" t="s">
        <v>740</v>
      </c>
      <c r="N17" s="357" t="s">
        <v>741</v>
      </c>
      <c r="O17" s="91"/>
      <c r="P17" s="358">
        <v>4</v>
      </c>
      <c r="Q17" s="358">
        <v>95736</v>
      </c>
      <c r="R17" s="359">
        <v>333.6</v>
      </c>
      <c r="S17" s="357" t="s">
        <v>740</v>
      </c>
      <c r="T17" s="357" t="s">
        <v>741</v>
      </c>
      <c r="U17" s="91"/>
      <c r="V17" s="358">
        <v>4</v>
      </c>
      <c r="W17" s="358">
        <v>137064</v>
      </c>
      <c r="X17" s="359">
        <v>348.96</v>
      </c>
      <c r="Y17" s="357" t="s">
        <v>740</v>
      </c>
      <c r="Z17" s="357" t="s">
        <v>741</v>
      </c>
      <c r="AA17" s="91"/>
      <c r="AB17" s="358">
        <v>4</v>
      </c>
      <c r="AC17" s="358">
        <v>89472</v>
      </c>
      <c r="AD17" s="359">
        <v>293.36</v>
      </c>
      <c r="AE17" s="357" t="s">
        <v>740</v>
      </c>
      <c r="AF17" s="357" t="s">
        <v>741</v>
      </c>
      <c r="AG17" s="91"/>
      <c r="AH17" s="358">
        <v>4</v>
      </c>
      <c r="AI17" s="358">
        <v>77472</v>
      </c>
      <c r="AJ17" s="359">
        <v>249.36</v>
      </c>
      <c r="AK17" s="357" t="s">
        <v>740</v>
      </c>
      <c r="AL17" s="357" t="s">
        <v>741</v>
      </c>
      <c r="AM17" s="91"/>
      <c r="AN17" s="358">
        <v>4</v>
      </c>
      <c r="AO17" s="358">
        <v>102856</v>
      </c>
      <c r="AP17" s="359">
        <v>234.4</v>
      </c>
      <c r="AQ17" s="357" t="s">
        <v>740</v>
      </c>
      <c r="AR17" s="357" t="s">
        <v>741</v>
      </c>
      <c r="AS17" s="91"/>
      <c r="AT17" s="358">
        <v>4</v>
      </c>
      <c r="AU17" s="358">
        <v>96880</v>
      </c>
      <c r="AV17" s="359">
        <v>268.08</v>
      </c>
      <c r="AW17" s="357" t="s">
        <v>740</v>
      </c>
      <c r="AX17" s="357" t="s">
        <v>741</v>
      </c>
      <c r="AY17" s="91"/>
      <c r="AZ17" s="358">
        <v>4</v>
      </c>
      <c r="BA17" s="358">
        <v>32256</v>
      </c>
      <c r="BB17" s="359">
        <v>167.76</v>
      </c>
      <c r="BC17" s="357" t="s">
        <v>740</v>
      </c>
      <c r="BD17" s="357" t="s">
        <v>741</v>
      </c>
      <c r="BE17" s="91"/>
      <c r="BF17" s="358">
        <v>3</v>
      </c>
      <c r="BG17" s="358">
        <v>27672</v>
      </c>
      <c r="BH17" s="359">
        <v>139.28</v>
      </c>
      <c r="BI17" s="357" t="s">
        <v>740</v>
      </c>
      <c r="BJ17" s="357" t="s">
        <v>741</v>
      </c>
      <c r="BK17" s="91"/>
      <c r="BL17" s="358">
        <v>4</v>
      </c>
      <c r="BM17" s="358">
        <v>109952</v>
      </c>
      <c r="BN17" s="359">
        <v>338.4</v>
      </c>
      <c r="BO17" s="357" t="s">
        <v>740</v>
      </c>
      <c r="BP17" s="357" t="s">
        <v>741</v>
      </c>
      <c r="BQ17" s="91"/>
      <c r="BR17" s="358">
        <v>4</v>
      </c>
      <c r="BS17" s="358">
        <v>108120</v>
      </c>
      <c r="BT17" s="359">
        <v>310</v>
      </c>
    </row>
    <row r="18" spans="1:72">
      <c r="A18" s="357" t="s">
        <v>742</v>
      </c>
      <c r="B18" s="357" t="s">
        <v>743</v>
      </c>
      <c r="C18" s="91"/>
      <c r="D18" s="358">
        <v>1</v>
      </c>
      <c r="E18" s="358">
        <v>210240</v>
      </c>
      <c r="F18" s="359">
        <v>388.8</v>
      </c>
      <c r="G18" s="357" t="s">
        <v>742</v>
      </c>
      <c r="H18" s="357" t="s">
        <v>743</v>
      </c>
      <c r="I18" s="91"/>
      <c r="J18" s="358">
        <v>1</v>
      </c>
      <c r="K18" s="358">
        <v>229536</v>
      </c>
      <c r="L18" s="359">
        <v>403.2</v>
      </c>
      <c r="M18" s="357" t="s">
        <v>742</v>
      </c>
      <c r="N18" s="357" t="s">
        <v>743</v>
      </c>
      <c r="O18" s="91"/>
      <c r="P18" s="358">
        <v>1</v>
      </c>
      <c r="Q18" s="358">
        <v>228672</v>
      </c>
      <c r="R18" s="359">
        <v>413.28</v>
      </c>
      <c r="S18" s="357" t="s">
        <v>742</v>
      </c>
      <c r="T18" s="357" t="s">
        <v>743</v>
      </c>
      <c r="U18" s="91"/>
      <c r="V18" s="358">
        <v>1</v>
      </c>
      <c r="W18" s="358">
        <v>253728</v>
      </c>
      <c r="X18" s="359">
        <v>496.8</v>
      </c>
      <c r="Y18" s="357" t="s">
        <v>742</v>
      </c>
      <c r="Z18" s="357" t="s">
        <v>743</v>
      </c>
      <c r="AA18" s="91"/>
      <c r="AB18" s="358">
        <v>1</v>
      </c>
      <c r="AC18" s="358">
        <v>266688</v>
      </c>
      <c r="AD18" s="359">
        <v>515.52</v>
      </c>
      <c r="AE18" s="357" t="s">
        <v>742</v>
      </c>
      <c r="AF18" s="357" t="s">
        <v>743</v>
      </c>
      <c r="AG18" s="91"/>
      <c r="AH18" s="358">
        <v>1</v>
      </c>
      <c r="AI18" s="358">
        <v>252288</v>
      </c>
      <c r="AJ18" s="359">
        <v>588.96</v>
      </c>
      <c r="AK18" s="357" t="s">
        <v>742</v>
      </c>
      <c r="AL18" s="357" t="s">
        <v>743</v>
      </c>
      <c r="AM18" s="91"/>
      <c r="AN18" s="358">
        <v>1</v>
      </c>
      <c r="AO18" s="358">
        <v>270720</v>
      </c>
      <c r="AP18" s="359">
        <v>587.52</v>
      </c>
      <c r="AQ18" s="357" t="s">
        <v>742</v>
      </c>
      <c r="AR18" s="357" t="s">
        <v>743</v>
      </c>
      <c r="AS18" s="91"/>
      <c r="AT18" s="358">
        <v>1</v>
      </c>
      <c r="AU18" s="358">
        <v>306432</v>
      </c>
      <c r="AV18" s="359">
        <v>627.84</v>
      </c>
      <c r="AW18" s="357" t="s">
        <v>742</v>
      </c>
      <c r="AX18" s="357" t="s">
        <v>743</v>
      </c>
      <c r="AY18" s="91"/>
      <c r="AZ18" s="358">
        <v>1</v>
      </c>
      <c r="BA18" s="358">
        <v>291744</v>
      </c>
      <c r="BB18" s="359">
        <v>640.79999999999995</v>
      </c>
      <c r="BC18" s="357" t="s">
        <v>742</v>
      </c>
      <c r="BD18" s="357" t="s">
        <v>743</v>
      </c>
      <c r="BE18" s="91"/>
      <c r="BF18" s="358">
        <v>2</v>
      </c>
      <c r="BG18" s="358">
        <v>536736</v>
      </c>
      <c r="BH18" s="359">
        <v>1115.04</v>
      </c>
      <c r="BI18" s="357" t="s">
        <v>742</v>
      </c>
      <c r="BJ18" s="357" t="s">
        <v>743</v>
      </c>
      <c r="BK18" s="91"/>
      <c r="BL18" s="358">
        <v>2</v>
      </c>
      <c r="BM18" s="358">
        <v>467712</v>
      </c>
      <c r="BN18" s="359">
        <v>969.6</v>
      </c>
      <c r="BO18" s="357" t="s">
        <v>742</v>
      </c>
      <c r="BP18" s="357" t="s">
        <v>743</v>
      </c>
      <c r="BQ18" s="91"/>
      <c r="BR18" s="358">
        <v>2</v>
      </c>
      <c r="BS18" s="358">
        <v>440736</v>
      </c>
      <c r="BT18" s="359">
        <v>906.72</v>
      </c>
    </row>
    <row r="19" spans="1:72">
      <c r="A19" s="357" t="s">
        <v>744</v>
      </c>
      <c r="B19" s="357" t="s">
        <v>745</v>
      </c>
      <c r="C19" s="91"/>
      <c r="D19" s="358">
        <v>124</v>
      </c>
      <c r="E19" s="358">
        <v>1997711</v>
      </c>
      <c r="F19" s="359">
        <v>6452.77</v>
      </c>
      <c r="G19" s="357" t="s">
        <v>744</v>
      </c>
      <c r="H19" s="357" t="s">
        <v>745</v>
      </c>
      <c r="I19" s="91"/>
      <c r="J19" s="358">
        <v>126</v>
      </c>
      <c r="K19" s="358">
        <v>2962924</v>
      </c>
      <c r="L19" s="359">
        <v>7760.95</v>
      </c>
      <c r="M19" s="357" t="s">
        <v>744</v>
      </c>
      <c r="N19" s="357" t="s">
        <v>745</v>
      </c>
      <c r="O19" s="91"/>
      <c r="P19" s="358">
        <v>129</v>
      </c>
      <c r="Q19" s="358">
        <v>2597501</v>
      </c>
      <c r="R19" s="359">
        <v>7513.63</v>
      </c>
      <c r="S19" s="357" t="s">
        <v>744</v>
      </c>
      <c r="T19" s="357" t="s">
        <v>745</v>
      </c>
      <c r="U19" s="91"/>
      <c r="V19" s="358">
        <v>124</v>
      </c>
      <c r="W19" s="358">
        <v>2816455</v>
      </c>
      <c r="X19" s="359">
        <v>7387</v>
      </c>
      <c r="Y19" s="357" t="s">
        <v>744</v>
      </c>
      <c r="Z19" s="357" t="s">
        <v>745</v>
      </c>
      <c r="AA19" s="91"/>
      <c r="AB19" s="358">
        <v>126</v>
      </c>
      <c r="AC19" s="358">
        <v>2686182</v>
      </c>
      <c r="AD19" s="359">
        <v>7133.12</v>
      </c>
      <c r="AE19" s="357" t="s">
        <v>744</v>
      </c>
      <c r="AF19" s="357" t="s">
        <v>745</v>
      </c>
      <c r="AG19" s="91"/>
      <c r="AH19" s="358">
        <v>126</v>
      </c>
      <c r="AI19" s="358">
        <v>2318530</v>
      </c>
      <c r="AJ19" s="359">
        <v>6993.13</v>
      </c>
      <c r="AK19" s="357" t="s">
        <v>744</v>
      </c>
      <c r="AL19" s="357" t="s">
        <v>745</v>
      </c>
      <c r="AM19" s="91"/>
      <c r="AN19" s="358">
        <v>125</v>
      </c>
      <c r="AO19" s="358">
        <v>2824768</v>
      </c>
      <c r="AP19" s="359">
        <v>7063.18</v>
      </c>
      <c r="AQ19" s="357" t="s">
        <v>744</v>
      </c>
      <c r="AR19" s="357" t="s">
        <v>745</v>
      </c>
      <c r="AS19" s="91"/>
      <c r="AT19" s="358">
        <v>126</v>
      </c>
      <c r="AU19" s="358">
        <v>2831974</v>
      </c>
      <c r="AV19" s="359">
        <v>7491.6</v>
      </c>
      <c r="AW19" s="357" t="s">
        <v>744</v>
      </c>
      <c r="AX19" s="357" t="s">
        <v>745</v>
      </c>
      <c r="AY19" s="91"/>
      <c r="AZ19" s="358">
        <v>126</v>
      </c>
      <c r="BA19" s="358">
        <v>3061718</v>
      </c>
      <c r="BB19" s="359">
        <v>7483.29</v>
      </c>
      <c r="BC19" s="357" t="s">
        <v>744</v>
      </c>
      <c r="BD19" s="357" t="s">
        <v>745</v>
      </c>
      <c r="BE19" s="91"/>
      <c r="BF19" s="358">
        <v>124</v>
      </c>
      <c r="BG19" s="358">
        <v>2478471</v>
      </c>
      <c r="BH19" s="359">
        <v>6587.53</v>
      </c>
      <c r="BI19" s="357" t="s">
        <v>744</v>
      </c>
      <c r="BJ19" s="357" t="s">
        <v>745</v>
      </c>
      <c r="BK19" s="91"/>
      <c r="BL19" s="358">
        <v>124</v>
      </c>
      <c r="BM19" s="358">
        <v>2226928</v>
      </c>
      <c r="BN19" s="359">
        <v>6507.81</v>
      </c>
      <c r="BO19" s="357" t="s">
        <v>744</v>
      </c>
      <c r="BP19" s="357" t="s">
        <v>745</v>
      </c>
      <c r="BQ19" s="91"/>
      <c r="BR19" s="358">
        <v>124</v>
      </c>
      <c r="BS19" s="358">
        <v>2329165</v>
      </c>
      <c r="BT19" s="359">
        <v>6714.89</v>
      </c>
    </row>
    <row r="20" spans="1:72">
      <c r="A20" s="357" t="s">
        <v>746</v>
      </c>
      <c r="B20" s="357" t="s">
        <v>747</v>
      </c>
      <c r="C20" s="91"/>
      <c r="D20" s="358">
        <v>11</v>
      </c>
      <c r="E20" s="358">
        <v>711264</v>
      </c>
      <c r="F20" s="359">
        <v>1857.79</v>
      </c>
      <c r="G20" s="357" t="s">
        <v>746</v>
      </c>
      <c r="H20" s="357" t="s">
        <v>747</v>
      </c>
      <c r="I20" s="91"/>
      <c r="J20" s="358">
        <v>11</v>
      </c>
      <c r="K20" s="358">
        <v>1052160</v>
      </c>
      <c r="L20" s="359">
        <v>2124.96</v>
      </c>
      <c r="M20" s="357" t="s">
        <v>746</v>
      </c>
      <c r="N20" s="357" t="s">
        <v>747</v>
      </c>
      <c r="O20" s="91"/>
      <c r="P20" s="358">
        <v>11</v>
      </c>
      <c r="Q20" s="358">
        <v>864576</v>
      </c>
      <c r="R20" s="359">
        <v>2093.7600000000002</v>
      </c>
      <c r="S20" s="357" t="s">
        <v>746</v>
      </c>
      <c r="T20" s="357" t="s">
        <v>747</v>
      </c>
      <c r="U20" s="91"/>
      <c r="V20" s="358">
        <v>11</v>
      </c>
      <c r="W20" s="358">
        <v>1052352</v>
      </c>
      <c r="X20" s="359">
        <v>1962.9</v>
      </c>
      <c r="Y20" s="357" t="s">
        <v>746</v>
      </c>
      <c r="Z20" s="357" t="s">
        <v>747</v>
      </c>
      <c r="AA20" s="91"/>
      <c r="AB20" s="358">
        <v>11</v>
      </c>
      <c r="AC20" s="358">
        <v>894816</v>
      </c>
      <c r="AD20" s="359">
        <v>1828.89</v>
      </c>
      <c r="AE20" s="357" t="s">
        <v>746</v>
      </c>
      <c r="AF20" s="357" t="s">
        <v>747</v>
      </c>
      <c r="AG20" s="91"/>
      <c r="AH20" s="358">
        <v>11</v>
      </c>
      <c r="AI20" s="358">
        <v>744672</v>
      </c>
      <c r="AJ20" s="359">
        <v>1940.64</v>
      </c>
      <c r="AK20" s="357" t="s">
        <v>746</v>
      </c>
      <c r="AL20" s="357" t="s">
        <v>747</v>
      </c>
      <c r="AM20" s="91"/>
      <c r="AN20" s="358">
        <v>11</v>
      </c>
      <c r="AO20" s="358">
        <v>976224</v>
      </c>
      <c r="AP20" s="359">
        <v>2044.41</v>
      </c>
      <c r="AQ20" s="357" t="s">
        <v>746</v>
      </c>
      <c r="AR20" s="357" t="s">
        <v>747</v>
      </c>
      <c r="AS20" s="91"/>
      <c r="AT20" s="358">
        <v>11</v>
      </c>
      <c r="AU20" s="358">
        <v>948960</v>
      </c>
      <c r="AV20" s="359">
        <v>2120.35</v>
      </c>
      <c r="AW20" s="357" t="s">
        <v>746</v>
      </c>
      <c r="AX20" s="357" t="s">
        <v>747</v>
      </c>
      <c r="AY20" s="91"/>
      <c r="AZ20" s="358">
        <v>11</v>
      </c>
      <c r="BA20" s="358">
        <v>1030464</v>
      </c>
      <c r="BB20" s="359">
        <v>2078.4</v>
      </c>
      <c r="BC20" s="357" t="s">
        <v>746</v>
      </c>
      <c r="BD20" s="357" t="s">
        <v>747</v>
      </c>
      <c r="BE20" s="91"/>
      <c r="BF20" s="358">
        <v>11</v>
      </c>
      <c r="BG20" s="358">
        <v>890304</v>
      </c>
      <c r="BH20" s="359">
        <v>1967.52</v>
      </c>
      <c r="BI20" s="357" t="s">
        <v>746</v>
      </c>
      <c r="BJ20" s="357" t="s">
        <v>747</v>
      </c>
      <c r="BK20" s="91"/>
      <c r="BL20" s="358">
        <v>11</v>
      </c>
      <c r="BM20" s="358">
        <v>853248</v>
      </c>
      <c r="BN20" s="359">
        <v>1872.1</v>
      </c>
      <c r="BO20" s="357" t="s">
        <v>746</v>
      </c>
      <c r="BP20" s="357" t="s">
        <v>747</v>
      </c>
      <c r="BQ20" s="91"/>
      <c r="BR20" s="358">
        <v>11</v>
      </c>
      <c r="BS20" s="358">
        <v>967200</v>
      </c>
      <c r="BT20" s="359">
        <v>2035.57</v>
      </c>
    </row>
    <row r="21" spans="1:72">
      <c r="A21" s="357" t="s">
        <v>748</v>
      </c>
      <c r="B21" s="357" t="s">
        <v>749</v>
      </c>
      <c r="C21" s="91"/>
      <c r="D21" s="358">
        <v>563</v>
      </c>
      <c r="E21" s="358">
        <v>800603</v>
      </c>
      <c r="F21" s="359">
        <v>2430.6799999999998</v>
      </c>
      <c r="G21" s="357" t="s">
        <v>748</v>
      </c>
      <c r="H21" s="357" t="s">
        <v>749</v>
      </c>
      <c r="I21" s="91"/>
      <c r="J21" s="358">
        <v>566</v>
      </c>
      <c r="K21" s="358">
        <v>1148808</v>
      </c>
      <c r="L21" s="359">
        <v>2603.3000000000002</v>
      </c>
      <c r="M21" s="357" t="s">
        <v>748</v>
      </c>
      <c r="N21" s="357" t="s">
        <v>749</v>
      </c>
      <c r="O21" s="91"/>
      <c r="P21" s="358">
        <v>552</v>
      </c>
      <c r="Q21" s="358">
        <v>955661</v>
      </c>
      <c r="R21" s="359">
        <v>2615.6999999999998</v>
      </c>
      <c r="S21" s="357" t="s">
        <v>748</v>
      </c>
      <c r="T21" s="357" t="s">
        <v>749</v>
      </c>
      <c r="U21" s="91"/>
      <c r="V21" s="358">
        <v>552</v>
      </c>
      <c r="W21" s="358">
        <v>941157</v>
      </c>
      <c r="X21" s="359">
        <v>2585.14</v>
      </c>
      <c r="Y21" s="357" t="s">
        <v>748</v>
      </c>
      <c r="Z21" s="357" t="s">
        <v>749</v>
      </c>
      <c r="AA21" s="91"/>
      <c r="AB21" s="358">
        <v>551</v>
      </c>
      <c r="AC21" s="358">
        <v>834152</v>
      </c>
      <c r="AD21" s="359">
        <v>2427.64</v>
      </c>
      <c r="AE21" s="357" t="s">
        <v>748</v>
      </c>
      <c r="AF21" s="357" t="s">
        <v>749</v>
      </c>
      <c r="AG21" s="91"/>
      <c r="AH21" s="358">
        <v>552</v>
      </c>
      <c r="AI21" s="358">
        <v>740065</v>
      </c>
      <c r="AJ21" s="359">
        <v>2277.5100000000002</v>
      </c>
      <c r="AK21" s="357" t="s">
        <v>748</v>
      </c>
      <c r="AL21" s="357" t="s">
        <v>749</v>
      </c>
      <c r="AM21" s="91"/>
      <c r="AN21" s="358">
        <v>543</v>
      </c>
      <c r="AO21" s="358">
        <v>886780</v>
      </c>
      <c r="AP21" s="359">
        <v>2225.66</v>
      </c>
      <c r="AQ21" s="357" t="s">
        <v>748</v>
      </c>
      <c r="AR21" s="357" t="s">
        <v>749</v>
      </c>
      <c r="AS21" s="91"/>
      <c r="AT21" s="358">
        <v>546</v>
      </c>
      <c r="AU21" s="358">
        <v>888451</v>
      </c>
      <c r="AV21" s="359">
        <v>2328.0300000000002</v>
      </c>
      <c r="AW21" s="357" t="s">
        <v>748</v>
      </c>
      <c r="AX21" s="357" t="s">
        <v>749</v>
      </c>
      <c r="AY21" s="91"/>
      <c r="AZ21" s="358">
        <v>553</v>
      </c>
      <c r="BA21" s="358">
        <v>994793</v>
      </c>
      <c r="BB21" s="359">
        <v>2417.94</v>
      </c>
      <c r="BC21" s="357" t="s">
        <v>748</v>
      </c>
      <c r="BD21" s="357" t="s">
        <v>749</v>
      </c>
      <c r="BE21" s="91"/>
      <c r="BF21" s="358">
        <v>551</v>
      </c>
      <c r="BG21" s="358">
        <v>887422</v>
      </c>
      <c r="BH21" s="359">
        <v>2308.7600000000002</v>
      </c>
      <c r="BI21" s="357" t="s">
        <v>748</v>
      </c>
      <c r="BJ21" s="357" t="s">
        <v>749</v>
      </c>
      <c r="BK21" s="91"/>
      <c r="BL21" s="358">
        <v>544</v>
      </c>
      <c r="BM21" s="358">
        <v>815361</v>
      </c>
      <c r="BN21" s="359">
        <v>2513.4</v>
      </c>
      <c r="BO21" s="357" t="s">
        <v>748</v>
      </c>
      <c r="BP21" s="357" t="s">
        <v>749</v>
      </c>
      <c r="BQ21" s="91"/>
      <c r="BR21" s="358">
        <v>548</v>
      </c>
      <c r="BS21" s="358">
        <v>819177</v>
      </c>
      <c r="BT21" s="359">
        <v>2417.2600000000002</v>
      </c>
    </row>
    <row r="22" spans="1:72">
      <c r="A22" s="357" t="s">
        <v>750</v>
      </c>
      <c r="B22" s="357" t="s">
        <v>751</v>
      </c>
      <c r="C22" s="91"/>
      <c r="D22" s="358">
        <v>53</v>
      </c>
      <c r="E22" s="358">
        <v>10335</v>
      </c>
      <c r="F22" s="359">
        <v>0</v>
      </c>
      <c r="G22" s="357" t="s">
        <v>750</v>
      </c>
      <c r="H22" s="357" t="s">
        <v>751</v>
      </c>
      <c r="I22" s="91"/>
      <c r="J22" s="358">
        <v>53</v>
      </c>
      <c r="K22" s="358">
        <v>10335</v>
      </c>
      <c r="L22" s="359">
        <v>0</v>
      </c>
      <c r="M22" s="357" t="s">
        <v>750</v>
      </c>
      <c r="N22" s="357" t="s">
        <v>751</v>
      </c>
      <c r="O22" s="91"/>
      <c r="P22" s="358">
        <v>53</v>
      </c>
      <c r="Q22" s="358">
        <v>10335</v>
      </c>
      <c r="R22" s="359">
        <v>0</v>
      </c>
      <c r="S22" s="357" t="s">
        <v>750</v>
      </c>
      <c r="T22" s="357" t="s">
        <v>751</v>
      </c>
      <c r="U22" s="91"/>
      <c r="V22" s="358">
        <v>53</v>
      </c>
      <c r="W22" s="358">
        <v>10335</v>
      </c>
      <c r="X22" s="359">
        <v>0</v>
      </c>
      <c r="Y22" s="357" t="s">
        <v>750</v>
      </c>
      <c r="Z22" s="357" t="s">
        <v>751</v>
      </c>
      <c r="AA22" s="91"/>
      <c r="AB22" s="358">
        <v>53</v>
      </c>
      <c r="AC22" s="358">
        <v>10335</v>
      </c>
      <c r="AD22" s="359">
        <v>0</v>
      </c>
      <c r="AE22" s="357" t="s">
        <v>750</v>
      </c>
      <c r="AF22" s="357" t="s">
        <v>751</v>
      </c>
      <c r="AG22" s="91"/>
      <c r="AH22" s="358">
        <v>53</v>
      </c>
      <c r="AI22" s="358">
        <v>10335</v>
      </c>
      <c r="AJ22" s="359">
        <v>0</v>
      </c>
      <c r="AK22" s="357" t="s">
        <v>750</v>
      </c>
      <c r="AL22" s="357" t="s">
        <v>751</v>
      </c>
      <c r="AM22" s="91"/>
      <c r="AN22" s="358">
        <v>54</v>
      </c>
      <c r="AO22" s="358">
        <v>10323</v>
      </c>
      <c r="AP22" s="359">
        <v>0</v>
      </c>
      <c r="AQ22" s="357" t="s">
        <v>750</v>
      </c>
      <c r="AR22" s="357" t="s">
        <v>751</v>
      </c>
      <c r="AS22" s="91"/>
      <c r="AT22" s="358">
        <v>53</v>
      </c>
      <c r="AU22" s="358">
        <v>10335</v>
      </c>
      <c r="AV22" s="359">
        <v>0</v>
      </c>
      <c r="AW22" s="357" t="s">
        <v>750</v>
      </c>
      <c r="AX22" s="357" t="s">
        <v>751</v>
      </c>
      <c r="AY22" s="91"/>
      <c r="AZ22" s="358">
        <v>53</v>
      </c>
      <c r="BA22" s="358">
        <v>10265</v>
      </c>
      <c r="BB22" s="359">
        <v>0</v>
      </c>
      <c r="BC22" s="357" t="s">
        <v>750</v>
      </c>
      <c r="BD22" s="357" t="s">
        <v>751</v>
      </c>
      <c r="BE22" s="91"/>
      <c r="BF22" s="358">
        <v>52</v>
      </c>
      <c r="BG22" s="358">
        <v>10194</v>
      </c>
      <c r="BH22" s="359">
        <v>0</v>
      </c>
      <c r="BI22" s="357" t="s">
        <v>750</v>
      </c>
      <c r="BJ22" s="357" t="s">
        <v>751</v>
      </c>
      <c r="BK22" s="91"/>
      <c r="BL22" s="358">
        <v>52</v>
      </c>
      <c r="BM22" s="358">
        <v>10123</v>
      </c>
      <c r="BN22" s="359">
        <v>0</v>
      </c>
      <c r="BO22" s="357" t="s">
        <v>750</v>
      </c>
      <c r="BP22" s="357" t="s">
        <v>751</v>
      </c>
      <c r="BQ22" s="91"/>
      <c r="BR22" s="358">
        <v>51</v>
      </c>
      <c r="BS22" s="358">
        <v>10116</v>
      </c>
      <c r="BT22" s="359">
        <v>0</v>
      </c>
    </row>
    <row r="23" spans="1:72">
      <c r="A23" s="357" t="s">
        <v>752</v>
      </c>
      <c r="B23" s="357" t="s">
        <v>753</v>
      </c>
      <c r="C23" s="91"/>
      <c r="D23" s="358">
        <v>2</v>
      </c>
      <c r="E23" s="358">
        <v>810190</v>
      </c>
      <c r="F23" s="359">
        <v>1712.28</v>
      </c>
      <c r="G23" s="357" t="s">
        <v>752</v>
      </c>
      <c r="H23" s="357" t="s">
        <v>753</v>
      </c>
      <c r="I23" s="91"/>
      <c r="J23" s="358">
        <v>2</v>
      </c>
      <c r="K23" s="358">
        <v>993070</v>
      </c>
      <c r="L23" s="359">
        <v>1804.08</v>
      </c>
      <c r="M23" s="357" t="s">
        <v>752</v>
      </c>
      <c r="N23" s="357" t="s">
        <v>753</v>
      </c>
      <c r="O23" s="91"/>
      <c r="P23" s="358">
        <v>2</v>
      </c>
      <c r="Q23" s="358">
        <v>938350</v>
      </c>
      <c r="R23" s="359">
        <v>1800.54</v>
      </c>
      <c r="S23" s="357" t="s">
        <v>752</v>
      </c>
      <c r="T23" s="357" t="s">
        <v>753</v>
      </c>
      <c r="U23" s="91"/>
      <c r="V23" s="358">
        <v>2</v>
      </c>
      <c r="W23" s="358">
        <v>1007230</v>
      </c>
      <c r="X23" s="359">
        <v>1882.2</v>
      </c>
      <c r="Y23" s="357" t="s">
        <v>752</v>
      </c>
      <c r="Z23" s="357" t="s">
        <v>753</v>
      </c>
      <c r="AA23" s="91"/>
      <c r="AB23" s="358">
        <v>2</v>
      </c>
      <c r="AC23" s="358">
        <v>1034950</v>
      </c>
      <c r="AD23" s="359">
        <v>1908.9</v>
      </c>
      <c r="AE23" s="357" t="s">
        <v>752</v>
      </c>
      <c r="AF23" s="357" t="s">
        <v>753</v>
      </c>
      <c r="AG23" s="91"/>
      <c r="AH23" s="358">
        <v>2</v>
      </c>
      <c r="AI23" s="358">
        <v>907510</v>
      </c>
      <c r="AJ23" s="359">
        <v>1971.06</v>
      </c>
      <c r="AK23" s="357" t="s">
        <v>752</v>
      </c>
      <c r="AL23" s="357" t="s">
        <v>753</v>
      </c>
      <c r="AM23" s="91"/>
      <c r="AN23" s="358">
        <v>2</v>
      </c>
      <c r="AO23" s="358">
        <v>1008790</v>
      </c>
      <c r="AP23" s="359">
        <v>2109.36</v>
      </c>
      <c r="AQ23" s="357" t="s">
        <v>752</v>
      </c>
      <c r="AR23" s="357" t="s">
        <v>753</v>
      </c>
      <c r="AS23" s="91"/>
      <c r="AT23" s="358">
        <v>2</v>
      </c>
      <c r="AU23" s="358">
        <v>1079110</v>
      </c>
      <c r="AV23" s="359">
        <v>2115.48</v>
      </c>
      <c r="AW23" s="357" t="s">
        <v>752</v>
      </c>
      <c r="AX23" s="357" t="s">
        <v>753</v>
      </c>
      <c r="AY23" s="91"/>
      <c r="AZ23" s="358">
        <v>2</v>
      </c>
      <c r="BA23" s="358">
        <v>1098910</v>
      </c>
      <c r="BB23" s="359">
        <v>2161.62</v>
      </c>
      <c r="BC23" s="357" t="s">
        <v>752</v>
      </c>
      <c r="BD23" s="357" t="s">
        <v>753</v>
      </c>
      <c r="BE23" s="91"/>
      <c r="BF23" s="358">
        <v>2</v>
      </c>
      <c r="BG23" s="358">
        <v>1059670</v>
      </c>
      <c r="BH23" s="359">
        <v>2027.58</v>
      </c>
      <c r="BI23" s="357" t="s">
        <v>752</v>
      </c>
      <c r="BJ23" s="357" t="s">
        <v>753</v>
      </c>
      <c r="BK23" s="91"/>
      <c r="BL23" s="358">
        <v>2</v>
      </c>
      <c r="BM23" s="358">
        <v>962590</v>
      </c>
      <c r="BN23" s="359">
        <v>1916.52</v>
      </c>
      <c r="BO23" s="357" t="s">
        <v>752</v>
      </c>
      <c r="BP23" s="357" t="s">
        <v>753</v>
      </c>
      <c r="BQ23" s="91"/>
      <c r="BR23" s="358">
        <v>2</v>
      </c>
      <c r="BS23" s="358">
        <v>925630</v>
      </c>
      <c r="BT23" s="359">
        <v>1895.82</v>
      </c>
    </row>
    <row r="24" spans="1:72">
      <c r="A24" s="357" t="s">
        <v>754</v>
      </c>
      <c r="B24" s="357" t="s">
        <v>755</v>
      </c>
      <c r="C24" s="91"/>
      <c r="D24" s="358">
        <v>47</v>
      </c>
      <c r="E24" s="358">
        <v>216329</v>
      </c>
      <c r="F24" s="359">
        <v>470.43</v>
      </c>
      <c r="G24" s="357" t="s">
        <v>754</v>
      </c>
      <c r="H24" s="357" t="s">
        <v>755</v>
      </c>
      <c r="I24" s="91"/>
      <c r="J24" s="358">
        <v>47</v>
      </c>
      <c r="K24" s="358">
        <v>277129</v>
      </c>
      <c r="L24" s="359">
        <v>492.25</v>
      </c>
      <c r="M24" s="357" t="s">
        <v>754</v>
      </c>
      <c r="N24" s="357" t="s">
        <v>755</v>
      </c>
      <c r="O24" s="91"/>
      <c r="P24" s="358">
        <v>47</v>
      </c>
      <c r="Q24" s="358">
        <v>221932</v>
      </c>
      <c r="R24" s="359">
        <v>466.53</v>
      </c>
      <c r="S24" s="357" t="s">
        <v>754</v>
      </c>
      <c r="T24" s="357" t="s">
        <v>755</v>
      </c>
      <c r="U24" s="91"/>
      <c r="V24" s="358">
        <v>47</v>
      </c>
      <c r="W24" s="358">
        <v>252943</v>
      </c>
      <c r="X24" s="359">
        <v>492.6</v>
      </c>
      <c r="Y24" s="357" t="s">
        <v>754</v>
      </c>
      <c r="Z24" s="357" t="s">
        <v>755</v>
      </c>
      <c r="AA24" s="91"/>
      <c r="AB24" s="358">
        <v>47</v>
      </c>
      <c r="AC24" s="358">
        <v>222881</v>
      </c>
      <c r="AD24" s="359">
        <v>-297.88</v>
      </c>
      <c r="AE24" s="357" t="s">
        <v>754</v>
      </c>
      <c r="AF24" s="357" t="s">
        <v>755</v>
      </c>
      <c r="AG24" s="91"/>
      <c r="AH24" s="358">
        <v>47</v>
      </c>
      <c r="AI24" s="358">
        <v>204621</v>
      </c>
      <c r="AJ24" s="359">
        <v>501.44</v>
      </c>
      <c r="AK24" s="357" t="s">
        <v>754</v>
      </c>
      <c r="AL24" s="357" t="s">
        <v>755</v>
      </c>
      <c r="AM24" s="91"/>
      <c r="AN24" s="358">
        <v>47</v>
      </c>
      <c r="AO24" s="358">
        <v>258633</v>
      </c>
      <c r="AP24" s="359">
        <v>528.09</v>
      </c>
      <c r="AQ24" s="357" t="s">
        <v>754</v>
      </c>
      <c r="AR24" s="357" t="s">
        <v>755</v>
      </c>
      <c r="AS24" s="91"/>
      <c r="AT24" s="358">
        <v>45</v>
      </c>
      <c r="AU24" s="358">
        <v>259762</v>
      </c>
      <c r="AV24" s="359">
        <v>542.28</v>
      </c>
      <c r="AW24" s="357" t="s">
        <v>754</v>
      </c>
      <c r="AX24" s="357" t="s">
        <v>755</v>
      </c>
      <c r="AY24" s="91"/>
      <c r="AZ24" s="358">
        <v>46</v>
      </c>
      <c r="BA24" s="358">
        <v>258670</v>
      </c>
      <c r="BB24" s="359">
        <v>537.02</v>
      </c>
      <c r="BC24" s="357" t="s">
        <v>754</v>
      </c>
      <c r="BD24" s="357" t="s">
        <v>755</v>
      </c>
      <c r="BE24" s="91"/>
      <c r="BF24" s="358">
        <v>45</v>
      </c>
      <c r="BG24" s="358">
        <v>229075</v>
      </c>
      <c r="BH24" s="359">
        <v>503.51</v>
      </c>
      <c r="BI24" s="357" t="s">
        <v>754</v>
      </c>
      <c r="BJ24" s="357" t="s">
        <v>755</v>
      </c>
      <c r="BK24" s="91"/>
      <c r="BL24" s="358">
        <v>45</v>
      </c>
      <c r="BM24" s="358">
        <v>211422</v>
      </c>
      <c r="BN24" s="359">
        <v>483.69</v>
      </c>
      <c r="BO24" s="357" t="s">
        <v>754</v>
      </c>
      <c r="BP24" s="357" t="s">
        <v>755</v>
      </c>
      <c r="BQ24" s="91"/>
      <c r="BR24" s="358">
        <v>47</v>
      </c>
      <c r="BS24" s="358">
        <v>221599</v>
      </c>
      <c r="BT24" s="359">
        <v>464.8</v>
      </c>
    </row>
    <row r="25" spans="1:72">
      <c r="A25" s="357" t="s">
        <v>756</v>
      </c>
      <c r="B25" s="357" t="s">
        <v>757</v>
      </c>
      <c r="C25" s="91"/>
      <c r="D25" s="358">
        <v>9</v>
      </c>
      <c r="E25" s="358">
        <v>24742</v>
      </c>
      <c r="F25" s="359">
        <v>116.69</v>
      </c>
      <c r="G25" s="357" t="s">
        <v>756</v>
      </c>
      <c r="H25" s="357" t="s">
        <v>757</v>
      </c>
      <c r="I25" s="91"/>
      <c r="J25" s="358">
        <v>9</v>
      </c>
      <c r="K25" s="358">
        <v>32901</v>
      </c>
      <c r="L25" s="359">
        <v>122.99</v>
      </c>
      <c r="M25" s="357" t="s">
        <v>756</v>
      </c>
      <c r="N25" s="357" t="s">
        <v>757</v>
      </c>
      <c r="O25" s="91"/>
      <c r="P25" s="358">
        <v>9</v>
      </c>
      <c r="Q25" s="358">
        <v>32235</v>
      </c>
      <c r="R25" s="359">
        <v>123.27</v>
      </c>
      <c r="S25" s="357" t="s">
        <v>756</v>
      </c>
      <c r="T25" s="357" t="s">
        <v>757</v>
      </c>
      <c r="U25" s="91"/>
      <c r="V25" s="358">
        <v>9</v>
      </c>
      <c r="W25" s="358">
        <v>28266</v>
      </c>
      <c r="X25" s="359">
        <v>115.31</v>
      </c>
      <c r="Y25" s="357" t="s">
        <v>756</v>
      </c>
      <c r="Z25" s="357" t="s">
        <v>757</v>
      </c>
      <c r="AA25" s="91"/>
      <c r="AB25" s="358">
        <v>9</v>
      </c>
      <c r="AC25" s="358">
        <v>23223</v>
      </c>
      <c r="AD25" s="359">
        <v>159.66999999999999</v>
      </c>
      <c r="AE25" s="357" t="s">
        <v>756</v>
      </c>
      <c r="AF25" s="357" t="s">
        <v>757</v>
      </c>
      <c r="AG25" s="91"/>
      <c r="AH25" s="358">
        <v>9</v>
      </c>
      <c r="AI25" s="358">
        <v>19692</v>
      </c>
      <c r="AJ25" s="359">
        <v>117.9</v>
      </c>
      <c r="AK25" s="357" t="s">
        <v>756</v>
      </c>
      <c r="AL25" s="357" t="s">
        <v>757</v>
      </c>
      <c r="AM25" s="91"/>
      <c r="AN25" s="358">
        <v>9</v>
      </c>
      <c r="AO25" s="358">
        <v>25153</v>
      </c>
      <c r="AP25" s="359">
        <v>113.17</v>
      </c>
      <c r="AQ25" s="357" t="s">
        <v>756</v>
      </c>
      <c r="AR25" s="357" t="s">
        <v>757</v>
      </c>
      <c r="AS25" s="91"/>
      <c r="AT25" s="358">
        <v>9</v>
      </c>
      <c r="AU25" s="358">
        <v>23366</v>
      </c>
      <c r="AV25" s="359">
        <v>108.11</v>
      </c>
      <c r="AW25" s="357" t="s">
        <v>756</v>
      </c>
      <c r="AX25" s="357" t="s">
        <v>757</v>
      </c>
      <c r="AY25" s="91"/>
      <c r="AZ25" s="358">
        <v>9</v>
      </c>
      <c r="BA25" s="358">
        <v>25337</v>
      </c>
      <c r="BB25" s="359">
        <v>107.77</v>
      </c>
      <c r="BC25" s="357" t="s">
        <v>756</v>
      </c>
      <c r="BD25" s="357" t="s">
        <v>757</v>
      </c>
      <c r="BE25" s="91"/>
      <c r="BF25" s="358">
        <v>9</v>
      </c>
      <c r="BG25" s="358">
        <v>27115</v>
      </c>
      <c r="BH25" s="359">
        <v>110.98</v>
      </c>
      <c r="BI25" s="357" t="s">
        <v>756</v>
      </c>
      <c r="BJ25" s="357" t="s">
        <v>757</v>
      </c>
      <c r="BK25" s="91"/>
      <c r="BL25" s="358">
        <v>9</v>
      </c>
      <c r="BM25" s="358">
        <v>28582</v>
      </c>
      <c r="BN25" s="359">
        <v>120.31</v>
      </c>
      <c r="BO25" s="357" t="s">
        <v>756</v>
      </c>
      <c r="BP25" s="357" t="s">
        <v>757</v>
      </c>
      <c r="BQ25" s="91"/>
      <c r="BR25" s="358">
        <v>9</v>
      </c>
      <c r="BS25" s="358">
        <v>32350</v>
      </c>
      <c r="BT25" s="359">
        <v>108.51</v>
      </c>
    </row>
    <row r="26" spans="1:72">
      <c r="A26" s="357" t="s">
        <v>758</v>
      </c>
      <c r="B26" s="357" t="s">
        <v>759</v>
      </c>
      <c r="C26" s="91"/>
      <c r="D26" s="358">
        <v>14</v>
      </c>
      <c r="E26" s="358">
        <v>209001</v>
      </c>
      <c r="F26" s="359">
        <v>1207.04</v>
      </c>
      <c r="G26" s="357" t="s">
        <v>758</v>
      </c>
      <c r="H26" s="357" t="s">
        <v>759</v>
      </c>
      <c r="I26" s="91"/>
      <c r="J26" s="358">
        <v>14</v>
      </c>
      <c r="K26" s="358">
        <v>287289</v>
      </c>
      <c r="L26" s="359">
        <v>1082.72</v>
      </c>
      <c r="M26" s="357" t="s">
        <v>758</v>
      </c>
      <c r="N26" s="357" t="s">
        <v>759</v>
      </c>
      <c r="O26" s="91"/>
      <c r="P26" s="358">
        <v>15</v>
      </c>
      <c r="Q26" s="358">
        <v>270380</v>
      </c>
      <c r="R26" s="359">
        <v>1384</v>
      </c>
      <c r="S26" s="357" t="s">
        <v>758</v>
      </c>
      <c r="T26" s="357" t="s">
        <v>759</v>
      </c>
      <c r="U26" s="91"/>
      <c r="V26" s="358">
        <v>15</v>
      </c>
      <c r="W26" s="358">
        <v>325341</v>
      </c>
      <c r="X26" s="359">
        <v>1538.32</v>
      </c>
      <c r="Y26" s="357" t="s">
        <v>758</v>
      </c>
      <c r="Z26" s="357" t="s">
        <v>759</v>
      </c>
      <c r="AA26" s="91"/>
      <c r="AB26" s="358">
        <v>15</v>
      </c>
      <c r="AC26" s="358">
        <v>334574</v>
      </c>
      <c r="AD26" s="359">
        <v>1576.48</v>
      </c>
      <c r="AE26" s="357" t="s">
        <v>758</v>
      </c>
      <c r="AF26" s="357" t="s">
        <v>759</v>
      </c>
      <c r="AG26" s="91"/>
      <c r="AH26" s="358">
        <v>15</v>
      </c>
      <c r="AI26" s="358">
        <v>306402</v>
      </c>
      <c r="AJ26" s="359">
        <v>1600.64</v>
      </c>
      <c r="AK26" s="357" t="s">
        <v>758</v>
      </c>
      <c r="AL26" s="357" t="s">
        <v>759</v>
      </c>
      <c r="AM26" s="91"/>
      <c r="AN26" s="358">
        <v>15</v>
      </c>
      <c r="AO26" s="358">
        <v>233178</v>
      </c>
      <c r="AP26" s="359">
        <v>1050.1600000000001</v>
      </c>
      <c r="AQ26" s="357" t="s">
        <v>758</v>
      </c>
      <c r="AR26" s="357" t="s">
        <v>759</v>
      </c>
      <c r="AS26" s="91"/>
      <c r="AT26" s="358">
        <v>15</v>
      </c>
      <c r="AU26" s="358">
        <v>259526</v>
      </c>
      <c r="AV26" s="359">
        <v>1058.04</v>
      </c>
      <c r="AW26" s="357" t="s">
        <v>758</v>
      </c>
      <c r="AX26" s="357" t="s">
        <v>759</v>
      </c>
      <c r="AY26" s="91"/>
      <c r="AZ26" s="358">
        <v>15</v>
      </c>
      <c r="BA26" s="358">
        <v>452620</v>
      </c>
      <c r="BB26" s="359">
        <v>1732.88</v>
      </c>
      <c r="BC26" s="357" t="s">
        <v>758</v>
      </c>
      <c r="BD26" s="357" t="s">
        <v>759</v>
      </c>
      <c r="BE26" s="91"/>
      <c r="BF26" s="358">
        <v>15</v>
      </c>
      <c r="BG26" s="358">
        <v>351586</v>
      </c>
      <c r="BH26" s="359">
        <v>1715.92</v>
      </c>
      <c r="BI26" s="357" t="s">
        <v>758</v>
      </c>
      <c r="BJ26" s="357" t="s">
        <v>759</v>
      </c>
      <c r="BK26" s="91"/>
      <c r="BL26" s="358">
        <v>15</v>
      </c>
      <c r="BM26" s="358">
        <v>287277</v>
      </c>
      <c r="BN26" s="359">
        <v>1587.6</v>
      </c>
      <c r="BO26" s="357" t="s">
        <v>758</v>
      </c>
      <c r="BP26" s="357" t="s">
        <v>759</v>
      </c>
      <c r="BQ26" s="91"/>
      <c r="BR26" s="358">
        <v>15</v>
      </c>
      <c r="BS26" s="358">
        <v>256887</v>
      </c>
      <c r="BT26" s="359">
        <v>1386.16</v>
      </c>
    </row>
    <row r="27" spans="1:72">
      <c r="A27" s="357" t="s">
        <v>760</v>
      </c>
      <c r="B27" s="357" t="s">
        <v>761</v>
      </c>
      <c r="C27" s="91"/>
      <c r="D27" s="358">
        <v>7</v>
      </c>
      <c r="E27" s="358">
        <v>8208</v>
      </c>
      <c r="F27" s="359">
        <v>49.2</v>
      </c>
      <c r="G27" s="357" t="s">
        <v>760</v>
      </c>
      <c r="H27" s="357" t="s">
        <v>761</v>
      </c>
      <c r="I27" s="91"/>
      <c r="J27" s="358">
        <v>7</v>
      </c>
      <c r="K27" s="358">
        <v>13092</v>
      </c>
      <c r="L27" s="359">
        <v>49.3</v>
      </c>
      <c r="M27" s="357" t="s">
        <v>760</v>
      </c>
      <c r="N27" s="357" t="s">
        <v>761</v>
      </c>
      <c r="O27" s="91"/>
      <c r="P27" s="358">
        <v>7</v>
      </c>
      <c r="Q27" s="358">
        <v>10003</v>
      </c>
      <c r="R27" s="359">
        <v>47.7</v>
      </c>
      <c r="S27" s="357" t="s">
        <v>760</v>
      </c>
      <c r="T27" s="357" t="s">
        <v>761</v>
      </c>
      <c r="U27" s="91"/>
      <c r="V27" s="358">
        <v>7</v>
      </c>
      <c r="W27" s="358">
        <v>10144</v>
      </c>
      <c r="X27" s="359">
        <v>69.099999999999994</v>
      </c>
      <c r="Y27" s="357" t="s">
        <v>760</v>
      </c>
      <c r="Z27" s="357" t="s">
        <v>761</v>
      </c>
      <c r="AA27" s="91"/>
      <c r="AB27" s="358">
        <v>7</v>
      </c>
      <c r="AC27" s="358">
        <v>7857</v>
      </c>
      <c r="AD27" s="359">
        <v>40.5</v>
      </c>
      <c r="AE27" s="357" t="s">
        <v>760</v>
      </c>
      <c r="AF27" s="357" t="s">
        <v>761</v>
      </c>
      <c r="AG27" s="91"/>
      <c r="AH27" s="358">
        <v>7</v>
      </c>
      <c r="AI27" s="358">
        <v>7843</v>
      </c>
      <c r="AJ27" s="359">
        <v>38.1</v>
      </c>
      <c r="AK27" s="357" t="s">
        <v>760</v>
      </c>
      <c r="AL27" s="357" t="s">
        <v>761</v>
      </c>
      <c r="AM27" s="91"/>
      <c r="AN27" s="358">
        <v>7</v>
      </c>
      <c r="AO27" s="358">
        <v>10929</v>
      </c>
      <c r="AP27" s="359">
        <v>42.6</v>
      </c>
      <c r="AQ27" s="357" t="s">
        <v>760</v>
      </c>
      <c r="AR27" s="357" t="s">
        <v>761</v>
      </c>
      <c r="AS27" s="91"/>
      <c r="AT27" s="358">
        <v>7</v>
      </c>
      <c r="AU27" s="358">
        <v>11088</v>
      </c>
      <c r="AV27" s="359">
        <v>41.2</v>
      </c>
      <c r="AW27" s="357" t="s">
        <v>760</v>
      </c>
      <c r="AX27" s="357" t="s">
        <v>761</v>
      </c>
      <c r="AY27" s="91"/>
      <c r="AZ27" s="358">
        <v>8</v>
      </c>
      <c r="BA27" s="358">
        <v>12084</v>
      </c>
      <c r="BB27" s="359">
        <v>42.8</v>
      </c>
      <c r="BC27" s="357" t="s">
        <v>760</v>
      </c>
      <c r="BD27" s="357" t="s">
        <v>761</v>
      </c>
      <c r="BE27" s="91"/>
      <c r="BF27" s="358">
        <v>8</v>
      </c>
      <c r="BG27" s="358">
        <v>10399</v>
      </c>
      <c r="BH27" s="359">
        <v>39.9</v>
      </c>
      <c r="BI27" s="357" t="s">
        <v>760</v>
      </c>
      <c r="BJ27" s="357" t="s">
        <v>761</v>
      </c>
      <c r="BK27" s="91"/>
      <c r="BL27" s="358">
        <v>8</v>
      </c>
      <c r="BM27" s="358">
        <v>10827</v>
      </c>
      <c r="BN27" s="359">
        <v>38.5</v>
      </c>
      <c r="BO27" s="357" t="s">
        <v>760</v>
      </c>
      <c r="BP27" s="357" t="s">
        <v>761</v>
      </c>
      <c r="BQ27" s="91"/>
      <c r="BR27" s="358">
        <v>8</v>
      </c>
      <c r="BS27" s="358">
        <v>12327</v>
      </c>
      <c r="BT27" s="359">
        <v>131.5</v>
      </c>
    </row>
    <row r="28" spans="1:72">
      <c r="A28" s="360" t="s">
        <v>56</v>
      </c>
      <c r="B28" s="91"/>
      <c r="C28" s="91"/>
      <c r="D28" s="358">
        <v>835</v>
      </c>
      <c r="E28" s="358">
        <v>5077519</v>
      </c>
      <c r="F28" s="359">
        <v>14920.96</v>
      </c>
      <c r="G28" s="360" t="s">
        <v>56</v>
      </c>
      <c r="H28" s="91"/>
      <c r="I28" s="91"/>
      <c r="J28" s="358">
        <v>840</v>
      </c>
      <c r="K28" s="358">
        <v>7121260</v>
      </c>
      <c r="L28" s="359">
        <v>16815.27</v>
      </c>
      <c r="M28" s="360" t="s">
        <v>56</v>
      </c>
      <c r="N28" s="91"/>
      <c r="O28" s="91"/>
      <c r="P28" s="358">
        <v>830</v>
      </c>
      <c r="Q28" s="358">
        <v>6225381</v>
      </c>
      <c r="R28" s="359">
        <v>16792.009999999998</v>
      </c>
      <c r="S28" s="360" t="s">
        <v>56</v>
      </c>
      <c r="T28" s="91"/>
      <c r="U28" s="91"/>
      <c r="V28" s="358">
        <v>825</v>
      </c>
      <c r="W28" s="358">
        <v>6835015</v>
      </c>
      <c r="X28" s="359">
        <v>16878.330000000002</v>
      </c>
      <c r="Y28" s="360" t="s">
        <v>56</v>
      </c>
      <c r="Z28" s="91"/>
      <c r="AA28" s="91"/>
      <c r="AB28" s="358">
        <v>826</v>
      </c>
      <c r="AC28" s="358">
        <v>6405130</v>
      </c>
      <c r="AD28" s="359">
        <v>15586.2</v>
      </c>
      <c r="AE28" s="360" t="s">
        <v>56</v>
      </c>
      <c r="AF28" s="91"/>
      <c r="AG28" s="91"/>
      <c r="AH28" s="358">
        <v>827</v>
      </c>
      <c r="AI28" s="358">
        <v>5589430</v>
      </c>
      <c r="AJ28" s="359">
        <v>16278.74</v>
      </c>
      <c r="AK28" s="360" t="s">
        <v>56</v>
      </c>
      <c r="AL28" s="91"/>
      <c r="AM28" s="91"/>
      <c r="AN28" s="358">
        <v>818</v>
      </c>
      <c r="AO28" s="358">
        <v>6608354</v>
      </c>
      <c r="AP28" s="359">
        <v>15998.55</v>
      </c>
      <c r="AQ28" s="360" t="s">
        <v>56</v>
      </c>
      <c r="AR28" s="91"/>
      <c r="AS28" s="91"/>
      <c r="AT28" s="358">
        <v>819</v>
      </c>
      <c r="AU28" s="358">
        <v>6715884</v>
      </c>
      <c r="AV28" s="359">
        <v>16701.009999999998</v>
      </c>
      <c r="AW28" s="360" t="s">
        <v>56</v>
      </c>
      <c r="AX28" s="91"/>
      <c r="AY28" s="91"/>
      <c r="AZ28" s="358">
        <v>828</v>
      </c>
      <c r="BA28" s="358">
        <v>7268861</v>
      </c>
      <c r="BB28" s="359">
        <v>17370.28</v>
      </c>
      <c r="BC28" s="360" t="s">
        <v>56</v>
      </c>
      <c r="BD28" s="91"/>
      <c r="BE28" s="91"/>
      <c r="BF28" s="358">
        <v>822</v>
      </c>
      <c r="BG28" s="358">
        <v>6508644</v>
      </c>
      <c r="BH28" s="359">
        <v>16516.02</v>
      </c>
      <c r="BI28" s="360" t="s">
        <v>56</v>
      </c>
      <c r="BJ28" s="91"/>
      <c r="BK28" s="91"/>
      <c r="BL28" s="358">
        <v>816</v>
      </c>
      <c r="BM28" s="358">
        <v>5984022</v>
      </c>
      <c r="BN28" s="359">
        <v>16347.93</v>
      </c>
      <c r="BO28" s="360" t="s">
        <v>56</v>
      </c>
      <c r="BP28" s="91"/>
      <c r="BQ28" s="91"/>
      <c r="BR28" s="358">
        <v>821</v>
      </c>
      <c r="BS28" s="358">
        <v>6123307</v>
      </c>
      <c r="BT28" s="359">
        <v>16371.23</v>
      </c>
    </row>
    <row r="29" spans="1:72">
      <c r="A29" s="91"/>
      <c r="B29" s="91"/>
      <c r="C29" s="91"/>
      <c r="D29" s="91"/>
      <c r="E29" s="343">
        <f>E28-E23</f>
        <v>4267329</v>
      </c>
      <c r="F29" s="91"/>
      <c r="G29" s="91"/>
      <c r="H29" s="91"/>
      <c r="I29" s="91"/>
      <c r="J29" s="91"/>
      <c r="K29" s="343">
        <f>K28-K23</f>
        <v>6128190</v>
      </c>
      <c r="L29" s="91"/>
      <c r="M29" s="91"/>
      <c r="N29" s="91"/>
      <c r="O29" s="91"/>
      <c r="P29" s="91"/>
      <c r="Q29" s="343">
        <f>Q28-Q23</f>
        <v>5287031</v>
      </c>
      <c r="R29" s="91"/>
      <c r="S29" s="91"/>
      <c r="T29" s="91"/>
      <c r="U29" s="91"/>
      <c r="V29" s="91"/>
      <c r="W29" s="343">
        <f>W28-W23</f>
        <v>5827785</v>
      </c>
      <c r="X29" s="91"/>
      <c r="Y29" s="91"/>
      <c r="Z29" s="91"/>
      <c r="AA29" s="91"/>
      <c r="AB29" s="91"/>
      <c r="AC29" s="343">
        <f>AC28-AC23</f>
        <v>5370180</v>
      </c>
      <c r="AD29" s="91"/>
      <c r="AE29" s="91"/>
      <c r="AF29" s="91"/>
      <c r="AG29" s="91"/>
      <c r="AH29" s="91"/>
      <c r="AI29" s="343">
        <f>AI28-AI23</f>
        <v>4681920</v>
      </c>
      <c r="AJ29" s="91"/>
      <c r="AK29" s="91"/>
      <c r="AL29" s="91"/>
      <c r="AM29" s="91"/>
      <c r="AN29" s="91"/>
      <c r="AO29" s="343">
        <f>AO28-AO23</f>
        <v>5599564</v>
      </c>
      <c r="AP29" s="91"/>
      <c r="AQ29" s="91"/>
      <c r="AR29" s="91"/>
      <c r="AS29" s="91"/>
      <c r="AT29" s="91"/>
      <c r="AU29" s="343">
        <f>AU28-AU23</f>
        <v>5636774</v>
      </c>
      <c r="AV29" s="91"/>
      <c r="AW29" s="91"/>
      <c r="AX29" s="91"/>
      <c r="AY29" s="91"/>
      <c r="AZ29" s="91"/>
      <c r="BA29" s="343">
        <f>BA28-BA23</f>
        <v>6169951</v>
      </c>
      <c r="BB29" s="91"/>
      <c r="BC29" s="91"/>
      <c r="BD29" s="91"/>
      <c r="BE29" s="91"/>
      <c r="BF29" s="91"/>
      <c r="BG29" s="343">
        <f>BG28-BG23</f>
        <v>5448974</v>
      </c>
      <c r="BH29" s="91"/>
      <c r="BI29" s="91"/>
      <c r="BJ29" s="91"/>
      <c r="BK29" s="91"/>
      <c r="BL29" s="91"/>
      <c r="BM29" s="343">
        <f>BM28-BM23</f>
        <v>5021432</v>
      </c>
      <c r="BN29" s="91"/>
      <c r="BO29" s="91"/>
      <c r="BP29" s="91"/>
      <c r="BQ29" s="91"/>
      <c r="BR29" s="91"/>
      <c r="BS29" s="343">
        <f>BS28-BS23</f>
        <v>5197677</v>
      </c>
      <c r="BT29" s="91"/>
    </row>
    <row r="30" spans="1:72">
      <c r="A30" s="357" t="s">
        <v>762</v>
      </c>
      <c r="B30" s="357" t="s">
        <v>763</v>
      </c>
      <c r="C30" s="91"/>
      <c r="D30" s="358">
        <v>1</v>
      </c>
      <c r="E30" s="358">
        <v>56888.72</v>
      </c>
      <c r="F30" s="359">
        <v>0</v>
      </c>
      <c r="G30" s="357" t="s">
        <v>762</v>
      </c>
      <c r="H30" s="357" t="s">
        <v>763</v>
      </c>
      <c r="I30" s="91"/>
      <c r="J30" s="358">
        <v>1</v>
      </c>
      <c r="K30" s="358">
        <v>48061.17</v>
      </c>
      <c r="L30" s="359">
        <v>0</v>
      </c>
      <c r="M30" s="357" t="s">
        <v>762</v>
      </c>
      <c r="N30" s="357" t="s">
        <v>763</v>
      </c>
      <c r="O30" s="91"/>
      <c r="P30" s="358">
        <v>1</v>
      </c>
      <c r="Q30" s="358">
        <v>48201.279999999999</v>
      </c>
      <c r="R30" s="359">
        <v>0</v>
      </c>
      <c r="S30" s="357" t="s">
        <v>762</v>
      </c>
      <c r="T30" s="357" t="s">
        <v>763</v>
      </c>
      <c r="U30" s="91"/>
      <c r="V30" s="358">
        <v>1</v>
      </c>
      <c r="W30" s="358">
        <v>41594.86</v>
      </c>
      <c r="X30" s="359">
        <v>0</v>
      </c>
      <c r="Y30" s="357" t="s">
        <v>762</v>
      </c>
      <c r="Z30" s="357" t="s">
        <v>763</v>
      </c>
      <c r="AA30" s="91"/>
      <c r="AB30" s="358">
        <v>1</v>
      </c>
      <c r="AC30" s="358">
        <v>37953.56</v>
      </c>
      <c r="AD30" s="359">
        <v>0</v>
      </c>
      <c r="AE30" s="357" t="s">
        <v>762</v>
      </c>
      <c r="AF30" s="357" t="s">
        <v>763</v>
      </c>
      <c r="AG30" s="91"/>
      <c r="AH30" s="358">
        <v>1</v>
      </c>
      <c r="AI30" s="358">
        <v>34172.199999999997</v>
      </c>
      <c r="AJ30" s="359">
        <v>0</v>
      </c>
      <c r="AK30" s="357" t="s">
        <v>762</v>
      </c>
      <c r="AL30" s="357" t="s">
        <v>763</v>
      </c>
      <c r="AM30" s="91"/>
      <c r="AN30" s="358">
        <v>1</v>
      </c>
      <c r="AO30" s="358">
        <v>36553.06</v>
      </c>
      <c r="AP30" s="359">
        <v>0</v>
      </c>
      <c r="AQ30" s="357" t="s">
        <v>762</v>
      </c>
      <c r="AR30" s="357" t="s">
        <v>763</v>
      </c>
      <c r="AS30" s="91"/>
      <c r="AT30" s="358">
        <v>1</v>
      </c>
      <c r="AU30" s="358">
        <v>40754.559999999998</v>
      </c>
      <c r="AV30" s="359">
        <v>0</v>
      </c>
      <c r="AW30" s="357" t="s">
        <v>762</v>
      </c>
      <c r="AX30" s="357" t="s">
        <v>763</v>
      </c>
      <c r="AY30" s="91"/>
      <c r="AZ30" s="358">
        <v>1</v>
      </c>
      <c r="BA30" s="358">
        <v>44535.9</v>
      </c>
      <c r="BB30" s="359">
        <v>0</v>
      </c>
      <c r="BC30" s="357" t="s">
        <v>762</v>
      </c>
      <c r="BD30" s="357" t="s">
        <v>763</v>
      </c>
      <c r="BE30" s="91"/>
      <c r="BF30" s="358">
        <v>1</v>
      </c>
      <c r="BG30" s="358">
        <v>51221.7</v>
      </c>
      <c r="BH30" s="359">
        <v>0</v>
      </c>
      <c r="BI30" s="357" t="s">
        <v>762</v>
      </c>
      <c r="BJ30" s="357" t="s">
        <v>763</v>
      </c>
      <c r="BK30" s="91"/>
      <c r="BL30" s="358">
        <v>1</v>
      </c>
      <c r="BM30" s="358">
        <v>53826.86</v>
      </c>
      <c r="BN30" s="359">
        <v>0</v>
      </c>
      <c r="BO30" s="357" t="s">
        <v>762</v>
      </c>
      <c r="BP30" s="357" t="s">
        <v>763</v>
      </c>
      <c r="BQ30" s="91"/>
      <c r="BR30" s="358">
        <v>1</v>
      </c>
      <c r="BS30" s="358">
        <v>58792.14</v>
      </c>
      <c r="BT30" s="359">
        <v>0</v>
      </c>
    </row>
    <row r="31" spans="1:72">
      <c r="A31" s="360" t="s">
        <v>604</v>
      </c>
      <c r="B31" s="91"/>
      <c r="C31" s="91"/>
      <c r="D31" s="358">
        <v>1</v>
      </c>
      <c r="E31" s="358">
        <v>56888.72</v>
      </c>
      <c r="F31" s="359">
        <v>0</v>
      </c>
      <c r="G31" s="360" t="s">
        <v>604</v>
      </c>
      <c r="H31" s="91"/>
      <c r="I31" s="91"/>
      <c r="J31" s="358">
        <v>1</v>
      </c>
      <c r="K31" s="358">
        <v>48061.17</v>
      </c>
      <c r="L31" s="359">
        <v>0</v>
      </c>
      <c r="M31" s="360" t="s">
        <v>604</v>
      </c>
      <c r="N31" s="91"/>
      <c r="O31" s="91"/>
      <c r="P31" s="358">
        <v>1</v>
      </c>
      <c r="Q31" s="358">
        <v>48201.279999999999</v>
      </c>
      <c r="R31" s="359">
        <v>0</v>
      </c>
      <c r="S31" s="360" t="s">
        <v>604</v>
      </c>
      <c r="T31" s="91"/>
      <c r="U31" s="91"/>
      <c r="V31" s="358">
        <v>1</v>
      </c>
      <c r="W31" s="358">
        <v>41594.86</v>
      </c>
      <c r="X31" s="359">
        <v>0</v>
      </c>
      <c r="Y31" s="360" t="s">
        <v>604</v>
      </c>
      <c r="Z31" s="91"/>
      <c r="AA31" s="91"/>
      <c r="AB31" s="358">
        <v>1</v>
      </c>
      <c r="AC31" s="358">
        <v>37953.56</v>
      </c>
      <c r="AD31" s="359">
        <v>0</v>
      </c>
      <c r="AE31" s="360" t="s">
        <v>604</v>
      </c>
      <c r="AF31" s="91"/>
      <c r="AG31" s="91"/>
      <c r="AH31" s="358">
        <v>1</v>
      </c>
      <c r="AI31" s="358">
        <v>34172.199999999997</v>
      </c>
      <c r="AJ31" s="359">
        <v>0</v>
      </c>
      <c r="AK31" s="360" t="s">
        <v>604</v>
      </c>
      <c r="AL31" s="91"/>
      <c r="AM31" s="91"/>
      <c r="AN31" s="358">
        <v>1</v>
      </c>
      <c r="AO31" s="358">
        <v>36553.06</v>
      </c>
      <c r="AP31" s="359">
        <v>0</v>
      </c>
      <c r="AQ31" s="360" t="s">
        <v>604</v>
      </c>
      <c r="AR31" s="91"/>
      <c r="AS31" s="91"/>
      <c r="AT31" s="358">
        <v>1</v>
      </c>
      <c r="AU31" s="358">
        <v>40754.559999999998</v>
      </c>
      <c r="AV31" s="359">
        <v>0</v>
      </c>
      <c r="AW31" s="360" t="s">
        <v>604</v>
      </c>
      <c r="AX31" s="91"/>
      <c r="AY31" s="91"/>
      <c r="AZ31" s="358">
        <v>1</v>
      </c>
      <c r="BA31" s="358">
        <v>44535.9</v>
      </c>
      <c r="BB31" s="359">
        <v>0</v>
      </c>
      <c r="BC31" s="360" t="s">
        <v>604</v>
      </c>
      <c r="BD31" s="91"/>
      <c r="BE31" s="91"/>
      <c r="BF31" s="358">
        <v>1</v>
      </c>
      <c r="BG31" s="358">
        <v>51221.7</v>
      </c>
      <c r="BH31" s="359">
        <v>0</v>
      </c>
      <c r="BI31" s="360" t="s">
        <v>604</v>
      </c>
      <c r="BJ31" s="91"/>
      <c r="BK31" s="91"/>
      <c r="BL31" s="358">
        <v>1</v>
      </c>
      <c r="BM31" s="358">
        <v>53826.86</v>
      </c>
      <c r="BN31" s="359">
        <v>0</v>
      </c>
      <c r="BO31" s="360" t="s">
        <v>604</v>
      </c>
      <c r="BP31" s="91"/>
      <c r="BQ31" s="91"/>
      <c r="BR31" s="358">
        <v>1</v>
      </c>
      <c r="BS31" s="358">
        <v>58792.14</v>
      </c>
      <c r="BT31" s="359">
        <v>0</v>
      </c>
    </row>
    <row r="32" spans="1:72">
      <c r="A32" s="91"/>
      <c r="B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row>
    <row r="33" spans="1:72">
      <c r="A33" s="357" t="s">
        <v>764</v>
      </c>
      <c r="B33" s="357" t="s">
        <v>765</v>
      </c>
      <c r="C33" s="91"/>
      <c r="D33" s="358">
        <v>39</v>
      </c>
      <c r="E33" s="358">
        <v>65688</v>
      </c>
      <c r="F33" s="359">
        <v>0</v>
      </c>
      <c r="G33" s="357" t="s">
        <v>764</v>
      </c>
      <c r="H33" s="357" t="s">
        <v>765</v>
      </c>
      <c r="I33" s="91"/>
      <c r="J33" s="358">
        <v>39</v>
      </c>
      <c r="K33" s="358">
        <v>118788</v>
      </c>
      <c r="L33" s="359">
        <v>0</v>
      </c>
      <c r="M33" s="357" t="s">
        <v>764</v>
      </c>
      <c r="N33" s="357" t="s">
        <v>765</v>
      </c>
      <c r="O33" s="91"/>
      <c r="P33" s="358">
        <v>39</v>
      </c>
      <c r="Q33" s="358">
        <v>85705</v>
      </c>
      <c r="R33" s="359">
        <v>0</v>
      </c>
      <c r="S33" s="357" t="s">
        <v>764</v>
      </c>
      <c r="T33" s="357" t="s">
        <v>765</v>
      </c>
      <c r="U33" s="91"/>
      <c r="V33" s="358">
        <v>39</v>
      </c>
      <c r="W33" s="358">
        <v>66481</v>
      </c>
      <c r="X33" s="359">
        <v>0</v>
      </c>
      <c r="Y33" s="357" t="s">
        <v>764</v>
      </c>
      <c r="Z33" s="357" t="s">
        <v>765</v>
      </c>
      <c r="AA33" s="91"/>
      <c r="AB33" s="358">
        <v>39</v>
      </c>
      <c r="AC33" s="358">
        <v>42569</v>
      </c>
      <c r="AD33" s="359">
        <v>0</v>
      </c>
      <c r="AE33" s="357" t="s">
        <v>764</v>
      </c>
      <c r="AF33" s="357" t="s">
        <v>765</v>
      </c>
      <c r="AG33" s="91"/>
      <c r="AH33" s="358">
        <v>39</v>
      </c>
      <c r="AI33" s="358">
        <v>34747</v>
      </c>
      <c r="AJ33" s="359">
        <v>0</v>
      </c>
      <c r="AK33" s="357" t="s">
        <v>764</v>
      </c>
      <c r="AL33" s="357" t="s">
        <v>765</v>
      </c>
      <c r="AM33" s="91"/>
      <c r="AN33" s="358">
        <v>39</v>
      </c>
      <c r="AO33" s="358">
        <v>46276</v>
      </c>
      <c r="AP33" s="359">
        <v>0</v>
      </c>
      <c r="AQ33" s="357" t="s">
        <v>764</v>
      </c>
      <c r="AR33" s="357" t="s">
        <v>765</v>
      </c>
      <c r="AS33" s="91"/>
      <c r="AT33" s="358">
        <v>39</v>
      </c>
      <c r="AU33" s="358">
        <v>48691</v>
      </c>
      <c r="AV33" s="359">
        <v>0</v>
      </c>
      <c r="AW33" s="357" t="s">
        <v>764</v>
      </c>
      <c r="AX33" s="357" t="s">
        <v>765</v>
      </c>
      <c r="AY33" s="91"/>
      <c r="AZ33" s="358">
        <v>39</v>
      </c>
      <c r="BA33" s="358">
        <v>54452</v>
      </c>
      <c r="BB33" s="359">
        <v>0</v>
      </c>
      <c r="BC33" s="357" t="s">
        <v>764</v>
      </c>
      <c r="BD33" s="357" t="s">
        <v>765</v>
      </c>
      <c r="BE33" s="91"/>
      <c r="BF33" s="358">
        <v>39</v>
      </c>
      <c r="BG33" s="358">
        <v>42795</v>
      </c>
      <c r="BH33" s="359">
        <v>0</v>
      </c>
      <c r="BI33" s="357" t="s">
        <v>764</v>
      </c>
      <c r="BJ33" s="357" t="s">
        <v>765</v>
      </c>
      <c r="BK33" s="91"/>
      <c r="BL33" s="358">
        <v>39</v>
      </c>
      <c r="BM33" s="358">
        <v>51829</v>
      </c>
      <c r="BN33" s="359">
        <v>0</v>
      </c>
      <c r="BO33" s="357" t="s">
        <v>764</v>
      </c>
      <c r="BP33" s="357" t="s">
        <v>765</v>
      </c>
      <c r="BQ33" s="91"/>
      <c r="BR33" s="358">
        <v>39</v>
      </c>
      <c r="BS33" s="358">
        <v>69888</v>
      </c>
      <c r="BT33" s="359">
        <v>0</v>
      </c>
    </row>
    <row r="34" spans="1:72">
      <c r="A34" s="360" t="s">
        <v>766</v>
      </c>
      <c r="B34" s="91"/>
      <c r="C34" s="91"/>
      <c r="D34" s="358">
        <v>39</v>
      </c>
      <c r="E34" s="358">
        <v>65688</v>
      </c>
      <c r="F34" s="359">
        <v>0</v>
      </c>
      <c r="G34" s="360" t="s">
        <v>766</v>
      </c>
      <c r="H34" s="91"/>
      <c r="I34" s="91"/>
      <c r="J34" s="358">
        <v>39</v>
      </c>
      <c r="K34" s="358">
        <v>118788</v>
      </c>
      <c r="L34" s="359">
        <v>0</v>
      </c>
      <c r="M34" s="360" t="s">
        <v>766</v>
      </c>
      <c r="N34" s="91"/>
      <c r="O34" s="91"/>
      <c r="P34" s="358">
        <v>39</v>
      </c>
      <c r="Q34" s="358">
        <v>85705</v>
      </c>
      <c r="R34" s="359">
        <v>0</v>
      </c>
      <c r="S34" s="360" t="s">
        <v>766</v>
      </c>
      <c r="T34" s="91"/>
      <c r="U34" s="91"/>
      <c r="V34" s="358">
        <v>39</v>
      </c>
      <c r="W34" s="358">
        <v>66481</v>
      </c>
      <c r="X34" s="359">
        <v>0</v>
      </c>
      <c r="Y34" s="360" t="s">
        <v>766</v>
      </c>
      <c r="Z34" s="91"/>
      <c r="AA34" s="91"/>
      <c r="AB34" s="358">
        <v>39</v>
      </c>
      <c r="AC34" s="358">
        <v>42569</v>
      </c>
      <c r="AD34" s="359">
        <v>0</v>
      </c>
      <c r="AE34" s="360" t="s">
        <v>766</v>
      </c>
      <c r="AF34" s="91"/>
      <c r="AG34" s="91"/>
      <c r="AH34" s="358">
        <v>39</v>
      </c>
      <c r="AI34" s="358">
        <v>34747</v>
      </c>
      <c r="AJ34" s="359">
        <v>0</v>
      </c>
      <c r="AK34" s="360" t="s">
        <v>766</v>
      </c>
      <c r="AL34" s="91"/>
      <c r="AM34" s="91"/>
      <c r="AN34" s="358">
        <v>39</v>
      </c>
      <c r="AO34" s="358">
        <v>46276</v>
      </c>
      <c r="AP34" s="359">
        <v>0</v>
      </c>
      <c r="AQ34" s="360" t="s">
        <v>766</v>
      </c>
      <c r="AR34" s="91"/>
      <c r="AS34" s="91"/>
      <c r="AT34" s="358">
        <v>39</v>
      </c>
      <c r="AU34" s="358">
        <v>48691</v>
      </c>
      <c r="AV34" s="359">
        <v>0</v>
      </c>
      <c r="AW34" s="360" t="s">
        <v>766</v>
      </c>
      <c r="AX34" s="91"/>
      <c r="AY34" s="91"/>
      <c r="AZ34" s="358">
        <v>39</v>
      </c>
      <c r="BA34" s="358">
        <v>54452</v>
      </c>
      <c r="BB34" s="359">
        <v>0</v>
      </c>
      <c r="BC34" s="360" t="s">
        <v>766</v>
      </c>
      <c r="BD34" s="91"/>
      <c r="BE34" s="91"/>
      <c r="BF34" s="358">
        <v>39</v>
      </c>
      <c r="BG34" s="358">
        <v>42795</v>
      </c>
      <c r="BH34" s="359">
        <v>0</v>
      </c>
      <c r="BI34" s="360" t="s">
        <v>766</v>
      </c>
      <c r="BJ34" s="91"/>
      <c r="BK34" s="91"/>
      <c r="BL34" s="358">
        <v>39</v>
      </c>
      <c r="BM34" s="358">
        <v>51829</v>
      </c>
      <c r="BN34" s="359">
        <v>0</v>
      </c>
      <c r="BO34" s="360" t="s">
        <v>766</v>
      </c>
      <c r="BP34" s="91"/>
      <c r="BQ34" s="91"/>
      <c r="BR34" s="358">
        <v>39</v>
      </c>
      <c r="BS34" s="358">
        <v>69888</v>
      </c>
      <c r="BT34" s="359">
        <v>0</v>
      </c>
    </row>
    <row r="35" spans="1:72">
      <c r="A35" s="91"/>
      <c r="B35" s="91"/>
      <c r="C35" s="91"/>
      <c r="D35" s="91"/>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row>
    <row r="36" spans="1:72">
      <c r="A36" s="357" t="s">
        <v>767</v>
      </c>
      <c r="B36" s="357" t="s">
        <v>768</v>
      </c>
      <c r="C36" s="91"/>
      <c r="D36" s="358">
        <v>5007</v>
      </c>
      <c r="E36" s="358">
        <v>4414047</v>
      </c>
      <c r="F36" s="359">
        <v>601.78</v>
      </c>
      <c r="G36" s="357" t="s">
        <v>767</v>
      </c>
      <c r="H36" s="357" t="s">
        <v>768</v>
      </c>
      <c r="I36" s="91"/>
      <c r="J36" s="358">
        <v>4957</v>
      </c>
      <c r="K36" s="358">
        <v>7788538</v>
      </c>
      <c r="L36" s="359">
        <v>676.2</v>
      </c>
      <c r="M36" s="357" t="s">
        <v>767</v>
      </c>
      <c r="N36" s="357" t="s">
        <v>768</v>
      </c>
      <c r="O36" s="91"/>
      <c r="P36" s="358">
        <v>4985</v>
      </c>
      <c r="Q36" s="358">
        <v>6260405</v>
      </c>
      <c r="R36" s="359">
        <v>643.70000000000005</v>
      </c>
      <c r="S36" s="357" t="s">
        <v>767</v>
      </c>
      <c r="T36" s="357" t="s">
        <v>768</v>
      </c>
      <c r="U36" s="91"/>
      <c r="V36" s="358">
        <v>4959</v>
      </c>
      <c r="W36" s="358">
        <v>5060304</v>
      </c>
      <c r="X36" s="359">
        <v>641.70000000000005</v>
      </c>
      <c r="Y36" s="357" t="s">
        <v>767</v>
      </c>
      <c r="Z36" s="357" t="s">
        <v>768</v>
      </c>
      <c r="AA36" s="91"/>
      <c r="AB36" s="358">
        <v>5089</v>
      </c>
      <c r="AC36" s="358">
        <v>3859169</v>
      </c>
      <c r="AD36" s="359">
        <v>577.44000000000005</v>
      </c>
      <c r="AE36" s="357" t="s">
        <v>767</v>
      </c>
      <c r="AF36" s="357" t="s">
        <v>768</v>
      </c>
      <c r="AG36" s="91"/>
      <c r="AH36" s="358">
        <v>5164</v>
      </c>
      <c r="AI36" s="358">
        <v>2965486</v>
      </c>
      <c r="AJ36" s="359">
        <v>487.06</v>
      </c>
      <c r="AK36" s="357" t="s">
        <v>767</v>
      </c>
      <c r="AL36" s="357" t="s">
        <v>768</v>
      </c>
      <c r="AM36" s="91"/>
      <c r="AN36" s="358">
        <v>5366</v>
      </c>
      <c r="AO36" s="358">
        <v>3748151</v>
      </c>
      <c r="AP36" s="359">
        <v>514.28</v>
      </c>
      <c r="AQ36" s="357" t="s">
        <v>767</v>
      </c>
      <c r="AR36" s="357" t="s">
        <v>768</v>
      </c>
      <c r="AS36" s="91"/>
      <c r="AT36" s="358">
        <v>5589</v>
      </c>
      <c r="AU36" s="358">
        <v>3932420</v>
      </c>
      <c r="AV36" s="359">
        <v>505.59</v>
      </c>
      <c r="AW36" s="357" t="s">
        <v>767</v>
      </c>
      <c r="AX36" s="357" t="s">
        <v>768</v>
      </c>
      <c r="AY36" s="91"/>
      <c r="AZ36" s="358">
        <v>5055</v>
      </c>
      <c r="BA36" s="358">
        <v>5117500</v>
      </c>
      <c r="BB36" s="359">
        <v>591.4</v>
      </c>
      <c r="BC36" s="357" t="s">
        <v>767</v>
      </c>
      <c r="BD36" s="357" t="s">
        <v>768</v>
      </c>
      <c r="BE36" s="91"/>
      <c r="BF36" s="358">
        <v>4964</v>
      </c>
      <c r="BG36" s="358">
        <v>4154293</v>
      </c>
      <c r="BH36" s="359">
        <v>511.6</v>
      </c>
      <c r="BI36" s="357" t="s">
        <v>767</v>
      </c>
      <c r="BJ36" s="357" t="s">
        <v>768</v>
      </c>
      <c r="BK36" s="91"/>
      <c r="BL36" s="358">
        <v>4951</v>
      </c>
      <c r="BM36" s="358">
        <v>4291902</v>
      </c>
      <c r="BN36" s="359">
        <v>617.09</v>
      </c>
      <c r="BO36" s="357" t="s">
        <v>767</v>
      </c>
      <c r="BP36" s="357" t="s">
        <v>768</v>
      </c>
      <c r="BQ36" s="91"/>
      <c r="BR36" s="358">
        <v>4945</v>
      </c>
      <c r="BS36" s="358">
        <v>4974603</v>
      </c>
      <c r="BT36" s="359">
        <v>588.86</v>
      </c>
    </row>
    <row r="37" spans="1:72">
      <c r="A37" s="360" t="s">
        <v>769</v>
      </c>
      <c r="B37" s="91"/>
      <c r="C37" s="91"/>
      <c r="D37" s="358">
        <v>5007</v>
      </c>
      <c r="E37" s="358">
        <v>4414047</v>
      </c>
      <c r="F37" s="359">
        <v>601.78</v>
      </c>
      <c r="G37" s="360" t="s">
        <v>769</v>
      </c>
      <c r="H37" s="91"/>
      <c r="I37" s="91"/>
      <c r="J37" s="358">
        <v>4957</v>
      </c>
      <c r="K37" s="358">
        <v>7788538</v>
      </c>
      <c r="L37" s="359">
        <v>676.2</v>
      </c>
      <c r="M37" s="360" t="s">
        <v>769</v>
      </c>
      <c r="N37" s="91"/>
      <c r="O37" s="91"/>
      <c r="P37" s="358">
        <v>4985</v>
      </c>
      <c r="Q37" s="358">
        <v>6260405</v>
      </c>
      <c r="R37" s="359">
        <v>643.70000000000005</v>
      </c>
      <c r="S37" s="360" t="s">
        <v>769</v>
      </c>
      <c r="T37" s="91"/>
      <c r="U37" s="91"/>
      <c r="V37" s="358">
        <v>4959</v>
      </c>
      <c r="W37" s="358">
        <v>5060304</v>
      </c>
      <c r="X37" s="359">
        <v>641.70000000000005</v>
      </c>
      <c r="Y37" s="360" t="s">
        <v>769</v>
      </c>
      <c r="Z37" s="91"/>
      <c r="AA37" s="91"/>
      <c r="AB37" s="358">
        <v>5089</v>
      </c>
      <c r="AC37" s="358">
        <v>3859169</v>
      </c>
      <c r="AD37" s="359">
        <v>577.44000000000005</v>
      </c>
      <c r="AE37" s="360" t="s">
        <v>769</v>
      </c>
      <c r="AF37" s="91"/>
      <c r="AG37" s="91"/>
      <c r="AH37" s="358">
        <v>5164</v>
      </c>
      <c r="AI37" s="358">
        <v>2965486</v>
      </c>
      <c r="AJ37" s="359">
        <v>487.06</v>
      </c>
      <c r="AK37" s="360" t="s">
        <v>769</v>
      </c>
      <c r="AL37" s="91"/>
      <c r="AM37" s="91"/>
      <c r="AN37" s="358">
        <v>5366</v>
      </c>
      <c r="AO37" s="358">
        <v>3748151</v>
      </c>
      <c r="AP37" s="359">
        <v>514.28</v>
      </c>
      <c r="AQ37" s="360" t="s">
        <v>769</v>
      </c>
      <c r="AR37" s="91"/>
      <c r="AS37" s="91"/>
      <c r="AT37" s="358">
        <v>5589</v>
      </c>
      <c r="AU37" s="358">
        <v>3932420</v>
      </c>
      <c r="AV37" s="359">
        <v>505.59</v>
      </c>
      <c r="AW37" s="360" t="s">
        <v>769</v>
      </c>
      <c r="AX37" s="91"/>
      <c r="AY37" s="91"/>
      <c r="AZ37" s="358">
        <v>5055</v>
      </c>
      <c r="BA37" s="358">
        <v>5117500</v>
      </c>
      <c r="BB37" s="359">
        <v>591.4</v>
      </c>
      <c r="BC37" s="360" t="s">
        <v>769</v>
      </c>
      <c r="BD37" s="91"/>
      <c r="BE37" s="91"/>
      <c r="BF37" s="358">
        <v>4964</v>
      </c>
      <c r="BG37" s="358">
        <v>4154293</v>
      </c>
      <c r="BH37" s="359">
        <v>511.6</v>
      </c>
      <c r="BI37" s="360" t="s">
        <v>769</v>
      </c>
      <c r="BJ37" s="91"/>
      <c r="BK37" s="91"/>
      <c r="BL37" s="358">
        <v>4951</v>
      </c>
      <c r="BM37" s="358">
        <v>4291902</v>
      </c>
      <c r="BN37" s="359">
        <v>617.09</v>
      </c>
      <c r="BO37" s="360" t="s">
        <v>769</v>
      </c>
      <c r="BP37" s="91"/>
      <c r="BQ37" s="91"/>
      <c r="BR37" s="358">
        <v>4945</v>
      </c>
      <c r="BS37" s="358">
        <v>4974603</v>
      </c>
      <c r="BT37" s="359">
        <v>588.86</v>
      </c>
    </row>
    <row r="38" spans="1:72">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row>
    <row r="39" spans="1:72">
      <c r="A39" s="361" t="s">
        <v>770</v>
      </c>
      <c r="B39" s="91"/>
      <c r="C39" s="91"/>
      <c r="D39" s="358">
        <v>6189</v>
      </c>
      <c r="E39" s="358">
        <v>22532829.719999999</v>
      </c>
      <c r="F39" s="362">
        <v>44698.35</v>
      </c>
      <c r="G39" s="361" t="s">
        <v>770</v>
      </c>
      <c r="H39" s="91"/>
      <c r="I39" s="91"/>
      <c r="J39" s="358">
        <v>6144</v>
      </c>
      <c r="K39" s="358">
        <v>32210117.170000002</v>
      </c>
      <c r="L39" s="362">
        <v>51434.97</v>
      </c>
      <c r="M39" s="361" t="s">
        <v>770</v>
      </c>
      <c r="N39" s="91"/>
      <c r="O39" s="91"/>
      <c r="P39" s="358">
        <v>6163</v>
      </c>
      <c r="Q39" s="358">
        <v>27697578.280000001</v>
      </c>
      <c r="R39" s="362">
        <v>53807.31</v>
      </c>
      <c r="S39" s="361" t="s">
        <v>770</v>
      </c>
      <c r="T39" s="91"/>
      <c r="U39" s="91"/>
      <c r="V39" s="358">
        <v>6130</v>
      </c>
      <c r="W39" s="358">
        <v>33302321.859999999</v>
      </c>
      <c r="X39" s="362">
        <v>86478.14</v>
      </c>
      <c r="Y39" s="361" t="s">
        <v>770</v>
      </c>
      <c r="Z39" s="91"/>
      <c r="AA39" s="91"/>
      <c r="AB39" s="358">
        <v>6262</v>
      </c>
      <c r="AC39" s="358">
        <v>25600951.559999999</v>
      </c>
      <c r="AD39" s="362">
        <v>20517.57</v>
      </c>
      <c r="AE39" s="361" t="s">
        <v>770</v>
      </c>
      <c r="AF39" s="91"/>
      <c r="AG39" s="91"/>
      <c r="AH39" s="358">
        <v>6339</v>
      </c>
      <c r="AI39" s="358">
        <v>21958206.199999999</v>
      </c>
      <c r="AJ39" s="362">
        <v>51775.199999999997</v>
      </c>
      <c r="AK39" s="361" t="s">
        <v>770</v>
      </c>
      <c r="AL39" s="91"/>
      <c r="AM39" s="91"/>
      <c r="AN39" s="358">
        <v>6531</v>
      </c>
      <c r="AO39" s="358">
        <v>28214005.059999999</v>
      </c>
      <c r="AP39" s="362">
        <v>65819.97</v>
      </c>
      <c r="AQ39" s="361" t="s">
        <v>770</v>
      </c>
      <c r="AR39" s="91"/>
      <c r="AS39" s="91"/>
      <c r="AT39" s="358">
        <v>6756</v>
      </c>
      <c r="AU39" s="358">
        <v>27504782.559999999</v>
      </c>
      <c r="AV39" s="362">
        <v>55250.05</v>
      </c>
      <c r="AW39" s="361" t="s">
        <v>770</v>
      </c>
      <c r="AX39" s="91"/>
      <c r="AY39" s="91"/>
      <c r="AZ39" s="358">
        <v>6238</v>
      </c>
      <c r="BA39" s="358">
        <v>33649550.899999999</v>
      </c>
      <c r="BB39" s="362">
        <v>59182.55</v>
      </c>
      <c r="BC39" s="361" t="s">
        <v>770</v>
      </c>
      <c r="BD39" s="91"/>
      <c r="BE39" s="91"/>
      <c r="BF39" s="358">
        <v>6141</v>
      </c>
      <c r="BG39" s="358">
        <v>28461484.699999999</v>
      </c>
      <c r="BH39" s="362">
        <v>58094.47</v>
      </c>
      <c r="BI39" s="361" t="s">
        <v>770</v>
      </c>
      <c r="BJ39" s="91"/>
      <c r="BK39" s="91"/>
      <c r="BL39" s="358">
        <v>6120</v>
      </c>
      <c r="BM39" s="358">
        <v>27047540.859999999</v>
      </c>
      <c r="BN39" s="362">
        <v>57475.37</v>
      </c>
      <c r="BO39" s="361" t="s">
        <v>770</v>
      </c>
      <c r="BP39" s="91"/>
      <c r="BQ39" s="91"/>
      <c r="BR39" s="358">
        <v>6120</v>
      </c>
      <c r="BS39" s="358">
        <v>27866724.140000001</v>
      </c>
      <c r="BT39" s="362">
        <v>56815.17</v>
      </c>
    </row>
    <row r="40" spans="1:72">
      <c r="A40" s="93" t="s">
        <v>55</v>
      </c>
      <c r="C40" s="92">
        <f>E36</f>
        <v>4414047</v>
      </c>
      <c r="D40" s="91"/>
      <c r="E40" s="91"/>
      <c r="F40" s="91"/>
      <c r="G40" s="93" t="s">
        <v>55</v>
      </c>
      <c r="I40" s="92">
        <f>K36</f>
        <v>7788538</v>
      </c>
      <c r="M40" s="93" t="s">
        <v>55</v>
      </c>
      <c r="O40" s="92">
        <f>Q36</f>
        <v>6260405</v>
      </c>
      <c r="S40" s="93" t="s">
        <v>55</v>
      </c>
      <c r="U40" s="92">
        <f>W36</f>
        <v>5060304</v>
      </c>
      <c r="Y40" s="93" t="s">
        <v>55</v>
      </c>
      <c r="AA40" s="92">
        <f>AC36</f>
        <v>3859169</v>
      </c>
      <c r="AE40" s="93" t="s">
        <v>55</v>
      </c>
      <c r="AG40" s="92">
        <f>AI36</f>
        <v>2965486</v>
      </c>
      <c r="AK40" s="93" t="s">
        <v>55</v>
      </c>
      <c r="AM40" s="92">
        <f>AO36</f>
        <v>3748151</v>
      </c>
      <c r="AQ40" s="93" t="s">
        <v>55</v>
      </c>
      <c r="AS40" s="92">
        <f>AU36</f>
        <v>3932420</v>
      </c>
      <c r="AW40" s="93" t="s">
        <v>55</v>
      </c>
      <c r="AY40" s="92">
        <f>BA36</f>
        <v>5117500</v>
      </c>
      <c r="BC40" s="93" t="s">
        <v>55</v>
      </c>
      <c r="BE40" s="92">
        <f>BG36</f>
        <v>4154293</v>
      </c>
      <c r="BI40" s="93" t="s">
        <v>55</v>
      </c>
      <c r="BK40" s="92">
        <f>BM36</f>
        <v>4291902</v>
      </c>
      <c r="BO40" s="93" t="s">
        <v>55</v>
      </c>
      <c r="BQ40" s="92">
        <f>BS36</f>
        <v>4974603</v>
      </c>
    </row>
    <row r="41" spans="1:72">
      <c r="A41" s="93" t="s">
        <v>56</v>
      </c>
      <c r="C41" s="92">
        <f>SUM(E18:E22)</f>
        <v>3730153</v>
      </c>
      <c r="D41" s="91"/>
      <c r="E41" s="91"/>
      <c r="F41" s="91"/>
      <c r="G41" s="93" t="s">
        <v>56</v>
      </c>
      <c r="I41" s="92">
        <f>SUM(K18:K22)</f>
        <v>5403763</v>
      </c>
      <c r="M41" s="93" t="s">
        <v>56</v>
      </c>
      <c r="O41" s="92">
        <f>SUM(Q18:Q22)</f>
        <v>4656745</v>
      </c>
      <c r="S41" s="93" t="s">
        <v>56</v>
      </c>
      <c r="U41" s="92">
        <f>SUM(W18:W22)</f>
        <v>5074027</v>
      </c>
      <c r="Y41" s="93" t="s">
        <v>56</v>
      </c>
      <c r="AA41" s="92">
        <f>SUM(AC18:AC22)</f>
        <v>4692173</v>
      </c>
      <c r="AE41" s="93" t="s">
        <v>56</v>
      </c>
      <c r="AG41" s="92">
        <f>SUM(AI18:AI22)</f>
        <v>4065890</v>
      </c>
      <c r="AK41" s="93" t="s">
        <v>56</v>
      </c>
      <c r="AM41" s="92">
        <f>SUM(AO18:AO22)</f>
        <v>4968815</v>
      </c>
      <c r="AQ41" s="93" t="s">
        <v>56</v>
      </c>
      <c r="AS41" s="92">
        <f>SUM(AU18:AU22)</f>
        <v>4986152</v>
      </c>
      <c r="AW41" s="93" t="s">
        <v>56</v>
      </c>
      <c r="AY41" s="92">
        <f>SUM(BA18:BA22)</f>
        <v>5388984</v>
      </c>
      <c r="BC41" s="93" t="s">
        <v>56</v>
      </c>
      <c r="BE41" s="92">
        <f>SUM(BG18:BG22)</f>
        <v>4803127</v>
      </c>
      <c r="BI41" s="93" t="s">
        <v>56</v>
      </c>
      <c r="BK41" s="92">
        <f>SUM(BM18:BM22)</f>
        <v>4373372</v>
      </c>
      <c r="BO41" s="93" t="s">
        <v>56</v>
      </c>
      <c r="BQ41" s="92">
        <f>SUM(BS18:BS22)</f>
        <v>4566394</v>
      </c>
    </row>
    <row r="42" spans="1:72">
      <c r="A42" s="93" t="s">
        <v>57</v>
      </c>
      <c r="C42" s="92">
        <f>SUM(E23)</f>
        <v>810190</v>
      </c>
      <c r="D42" s="91"/>
      <c r="E42" s="91"/>
      <c r="F42" s="91"/>
      <c r="G42" s="93" t="s">
        <v>57</v>
      </c>
      <c r="I42" s="92">
        <f>SUM(K23)</f>
        <v>993070</v>
      </c>
      <c r="M42" s="93" t="s">
        <v>57</v>
      </c>
      <c r="O42" s="92">
        <f>SUM(Q23)</f>
        <v>938350</v>
      </c>
      <c r="S42" s="93" t="s">
        <v>57</v>
      </c>
      <c r="U42" s="92">
        <f>SUM(W23)</f>
        <v>1007230</v>
      </c>
      <c r="Y42" s="93" t="s">
        <v>57</v>
      </c>
      <c r="AA42" s="92">
        <f>SUM(AC23)</f>
        <v>1034950</v>
      </c>
      <c r="AE42" s="93" t="s">
        <v>57</v>
      </c>
      <c r="AG42" s="92">
        <f>SUM(AI23)</f>
        <v>907510</v>
      </c>
      <c r="AK42" s="93" t="s">
        <v>57</v>
      </c>
      <c r="AM42" s="92">
        <f>SUM(AO23)</f>
        <v>1008790</v>
      </c>
      <c r="AQ42" s="93" t="s">
        <v>57</v>
      </c>
      <c r="AS42" s="92">
        <f>SUM(AU23)</f>
        <v>1079110</v>
      </c>
      <c r="AW42" s="93" t="s">
        <v>57</v>
      </c>
      <c r="AY42" s="92">
        <f>SUM(BA23)</f>
        <v>1098910</v>
      </c>
      <c r="BC42" s="93" t="s">
        <v>57</v>
      </c>
      <c r="BE42" s="92">
        <f>SUM(BG23)</f>
        <v>1059670</v>
      </c>
      <c r="BI42" s="93" t="s">
        <v>57</v>
      </c>
      <c r="BK42" s="92">
        <f>SUM(BM23)</f>
        <v>962590</v>
      </c>
      <c r="BO42" s="93" t="s">
        <v>57</v>
      </c>
      <c r="BQ42" s="92">
        <f>SUM(BS23)</f>
        <v>925630</v>
      </c>
    </row>
    <row r="43" spans="1:72">
      <c r="A43" s="93" t="s">
        <v>772</v>
      </c>
      <c r="C43" s="92">
        <f>SUM(E24,E26,E27,E30)</f>
        <v>490426.72</v>
      </c>
      <c r="D43" s="91"/>
      <c r="E43" s="91"/>
      <c r="F43" s="91"/>
      <c r="G43" s="93" t="s">
        <v>772</v>
      </c>
      <c r="I43" s="92">
        <f>SUM(K24,K26,K27,K30)</f>
        <v>625571.17000000004</v>
      </c>
      <c r="M43" s="93" t="s">
        <v>772</v>
      </c>
      <c r="O43" s="92">
        <f>SUM(Q24,Q26,Q27,Q30)</f>
        <v>550516.28</v>
      </c>
      <c r="S43" s="93" t="s">
        <v>772</v>
      </c>
      <c r="U43" s="92">
        <f>SUM(W24,W26,W27,W30)</f>
        <v>630022.86</v>
      </c>
      <c r="Y43" s="93" t="s">
        <v>772</v>
      </c>
      <c r="AA43" s="92">
        <f>SUM(AC24,AC26,AC27,AC30)</f>
        <v>603265.56000000006</v>
      </c>
      <c r="AE43" s="93" t="s">
        <v>772</v>
      </c>
      <c r="AG43" s="92">
        <f>SUM(AI24,AI26,AI27,AI30)</f>
        <v>553038.19999999995</v>
      </c>
      <c r="AK43" s="93" t="s">
        <v>772</v>
      </c>
      <c r="AM43" s="92">
        <f>SUM(AO24,AO26,AO27,AO30)</f>
        <v>539293.06000000006</v>
      </c>
      <c r="AQ43" s="93" t="s">
        <v>772</v>
      </c>
      <c r="AS43" s="92">
        <f>SUM(AU24,AU26,AU27,AU30)</f>
        <v>571130.56000000006</v>
      </c>
      <c r="AW43" s="93" t="s">
        <v>772</v>
      </c>
      <c r="AY43" s="92">
        <f>SUM(BA24,BA26,BA27,BA30)</f>
        <v>767909.9</v>
      </c>
      <c r="BC43" s="93" t="s">
        <v>772</v>
      </c>
      <c r="BE43" s="92">
        <f>SUM(BG24,BG26,BG27,BG30)</f>
        <v>642281.69999999995</v>
      </c>
      <c r="BI43" s="93" t="s">
        <v>772</v>
      </c>
      <c r="BK43" s="92">
        <f>SUM(BM24,BM26,BM27,BM30)</f>
        <v>563352.86</v>
      </c>
      <c r="BO43" s="93" t="s">
        <v>772</v>
      </c>
      <c r="BQ43" s="92">
        <f>SUM(BS24,BS26,BS27,BS30)</f>
        <v>549605.14</v>
      </c>
    </row>
    <row r="44" spans="1:72">
      <c r="A44" s="93" t="s">
        <v>771</v>
      </c>
      <c r="C44" s="92">
        <f>E25</f>
        <v>24742</v>
      </c>
      <c r="D44" s="91"/>
      <c r="E44" s="91"/>
      <c r="F44" s="91"/>
      <c r="G44" s="93" t="s">
        <v>771</v>
      </c>
      <c r="I44" s="92">
        <f>K25</f>
        <v>32901</v>
      </c>
      <c r="M44" s="93" t="s">
        <v>771</v>
      </c>
      <c r="O44" s="92">
        <f>Q25</f>
        <v>32235</v>
      </c>
      <c r="S44" s="93" t="s">
        <v>771</v>
      </c>
      <c r="U44" s="92">
        <f>W25</f>
        <v>28266</v>
      </c>
      <c r="Y44" s="93" t="s">
        <v>771</v>
      </c>
      <c r="AA44" s="92">
        <f>AC25</f>
        <v>23223</v>
      </c>
      <c r="AE44" s="93" t="s">
        <v>771</v>
      </c>
      <c r="AG44" s="92">
        <f>AI25</f>
        <v>19692</v>
      </c>
      <c r="AK44" s="93" t="s">
        <v>771</v>
      </c>
      <c r="AM44" s="92">
        <f>AO25</f>
        <v>25153</v>
      </c>
      <c r="AQ44" s="93" t="s">
        <v>771</v>
      </c>
      <c r="AS44" s="92">
        <f>AU25</f>
        <v>23366</v>
      </c>
      <c r="AW44" s="93" t="s">
        <v>771</v>
      </c>
      <c r="AY44" s="92">
        <f>BA25</f>
        <v>25337</v>
      </c>
      <c r="BC44" s="93" t="s">
        <v>771</v>
      </c>
      <c r="BE44" s="92">
        <f>BG25</f>
        <v>27115</v>
      </c>
      <c r="BI44" s="93" t="s">
        <v>771</v>
      </c>
      <c r="BK44" s="92">
        <f>BM25</f>
        <v>28582</v>
      </c>
      <c r="BO44" s="93" t="s">
        <v>771</v>
      </c>
      <c r="BQ44" s="92">
        <f>BS25</f>
        <v>32350</v>
      </c>
    </row>
    <row r="45" spans="1:72">
      <c r="A45" s="473" t="s">
        <v>966</v>
      </c>
      <c r="B45" s="70"/>
      <c r="C45" s="71"/>
      <c r="D45" s="91"/>
      <c r="E45" s="91"/>
      <c r="F45" s="91"/>
    </row>
    <row r="46" spans="1:72">
      <c r="A46" s="474" t="s">
        <v>55</v>
      </c>
      <c r="B46" s="33"/>
      <c r="C46" s="308">
        <f>SUM(C40,I40,O40,U40,AA40,AG40,AM40,AS40,AY40,BE40,BK40,BQ40)</f>
        <v>56566818</v>
      </c>
    </row>
    <row r="47" spans="1:72">
      <c r="A47" s="474" t="s">
        <v>56</v>
      </c>
      <c r="B47" s="33"/>
      <c r="C47" s="308">
        <f>SUM(C41,I41,O41,U41,AA41,AG41,AM41,AS41,AY41,BE41,BK41,BQ41)</f>
        <v>56709595</v>
      </c>
    </row>
    <row r="48" spans="1:72">
      <c r="A48" s="474" t="s">
        <v>57</v>
      </c>
      <c r="B48" s="33"/>
      <c r="C48" s="308">
        <f t="shared" ref="C48:C50" si="0">SUM(C42,I42,O42,U42,AA42,AG42,AM42,AS42,AY42,BE42,BK42,BQ42)</f>
        <v>11826000</v>
      </c>
    </row>
    <row r="49" spans="1:3">
      <c r="A49" s="474" t="s">
        <v>772</v>
      </c>
      <c r="B49" s="33"/>
      <c r="C49" s="308">
        <f t="shared" si="0"/>
        <v>7086414.0100000007</v>
      </c>
    </row>
    <row r="50" spans="1:3">
      <c r="A50" s="475" t="s">
        <v>771</v>
      </c>
      <c r="B50" s="45"/>
      <c r="C50" s="476">
        <f t="shared" si="0"/>
        <v>322962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dimension ref="A1:BT50"/>
  <sheetViews>
    <sheetView zoomScale="70" zoomScaleNormal="70" workbookViewId="0">
      <selection activeCell="E2" sqref="E2"/>
    </sheetView>
  </sheetViews>
  <sheetFormatPr defaultRowHeight="15"/>
  <cols>
    <col min="1" max="1" width="15.42578125" bestFit="1" customWidth="1"/>
    <col min="2" max="2" width="23.28515625" bestFit="1" customWidth="1"/>
    <col min="3" max="3" width="13.5703125" customWidth="1"/>
    <col min="4" max="6" width="14.140625" bestFit="1" customWidth="1"/>
    <col min="9" max="9" width="10.42578125" bestFit="1" customWidth="1"/>
    <col min="11" max="11" width="10.140625" bestFit="1" customWidth="1"/>
    <col min="15" max="15" width="10.85546875" bestFit="1" customWidth="1"/>
    <col min="17" max="17" width="10.140625" bestFit="1" customWidth="1"/>
    <col min="21" max="21" width="10.42578125" bestFit="1" customWidth="1"/>
    <col min="23" max="23" width="9.85546875" bestFit="1" customWidth="1"/>
    <col min="29" max="29" width="10.140625" bestFit="1" customWidth="1"/>
    <col min="35" max="35" width="10.140625" bestFit="1" customWidth="1"/>
    <col min="41" max="41" width="9.85546875" bestFit="1" customWidth="1"/>
    <col min="47" max="47" width="9.85546875" bestFit="1" customWidth="1"/>
    <col min="53" max="53" width="9.85546875" bestFit="1" customWidth="1"/>
    <col min="57" max="57" width="9.85546875" bestFit="1" customWidth="1"/>
    <col min="59" max="59" width="9.85546875" bestFit="1" customWidth="1"/>
    <col min="63" max="63" width="10.85546875" bestFit="1" customWidth="1"/>
    <col min="65" max="65" width="9.85546875" bestFit="1" customWidth="1"/>
    <col min="69" max="69" width="9.85546875" bestFit="1" customWidth="1"/>
    <col min="71" max="71" width="9.85546875" bestFit="1" customWidth="1"/>
  </cols>
  <sheetData>
    <row r="1" spans="1:72">
      <c r="A1" s="900" t="s">
        <v>2263</v>
      </c>
      <c r="B1" s="901"/>
      <c r="C1" s="902"/>
      <c r="D1" s="902"/>
      <c r="E1" s="12"/>
      <c r="F1" s="12"/>
      <c r="G1" s="12"/>
    </row>
    <row r="3" spans="1:72" s="1" customFormat="1">
      <c r="A3" s="1" t="s">
        <v>11</v>
      </c>
      <c r="G3" s="1" t="s">
        <v>12</v>
      </c>
      <c r="M3" s="1" t="s">
        <v>13</v>
      </c>
      <c r="S3" s="1" t="s">
        <v>14</v>
      </c>
      <c r="Y3" s="1" t="s">
        <v>15</v>
      </c>
      <c r="AE3" s="1" t="s">
        <v>16</v>
      </c>
      <c r="AK3" s="1" t="s">
        <v>17</v>
      </c>
      <c r="AQ3" s="1" t="s">
        <v>18</v>
      </c>
      <c r="AW3" s="1" t="s">
        <v>19</v>
      </c>
      <c r="BC3" s="1" t="s">
        <v>20</v>
      </c>
      <c r="BI3" s="1" t="s">
        <v>21</v>
      </c>
      <c r="BO3" s="1" t="s">
        <v>22</v>
      </c>
    </row>
    <row r="4" spans="1:72">
      <c r="A4" s="371" t="s">
        <v>718</v>
      </c>
      <c r="B4" s="372"/>
      <c r="C4" s="372"/>
      <c r="D4" s="383" t="s">
        <v>719</v>
      </c>
      <c r="E4" s="383" t="s">
        <v>720</v>
      </c>
      <c r="F4" s="384" t="s">
        <v>721</v>
      </c>
      <c r="G4" s="391" t="s">
        <v>718</v>
      </c>
      <c r="H4" s="392"/>
      <c r="I4" s="392"/>
      <c r="J4" s="393" t="s">
        <v>719</v>
      </c>
      <c r="K4" s="393" t="s">
        <v>720</v>
      </c>
      <c r="L4" s="394" t="s">
        <v>721</v>
      </c>
      <c r="M4" s="409" t="s">
        <v>718</v>
      </c>
      <c r="N4" s="410"/>
      <c r="O4" s="410"/>
      <c r="P4" s="411" t="s">
        <v>719</v>
      </c>
      <c r="Q4" s="411" t="s">
        <v>720</v>
      </c>
      <c r="R4" s="412" t="s">
        <v>721</v>
      </c>
      <c r="S4" s="425" t="s">
        <v>718</v>
      </c>
      <c r="T4" s="426"/>
      <c r="U4" s="426"/>
      <c r="V4" s="427" t="s">
        <v>719</v>
      </c>
      <c r="W4" s="427" t="s">
        <v>720</v>
      </c>
      <c r="X4" s="428" t="s">
        <v>721</v>
      </c>
      <c r="Y4" s="441" t="s">
        <v>718</v>
      </c>
      <c r="Z4" s="442"/>
      <c r="AA4" s="442"/>
      <c r="AB4" s="443" t="s">
        <v>719</v>
      </c>
      <c r="AC4" s="443" t="s">
        <v>720</v>
      </c>
      <c r="AD4" s="444" t="s">
        <v>721</v>
      </c>
      <c r="AE4" s="457" t="s">
        <v>718</v>
      </c>
      <c r="AF4" s="458"/>
      <c r="AG4" s="458"/>
      <c r="AH4" s="459" t="s">
        <v>719</v>
      </c>
      <c r="AI4" s="459" t="s">
        <v>720</v>
      </c>
      <c r="AJ4" s="460" t="s">
        <v>721</v>
      </c>
      <c r="AK4" s="139" t="s">
        <v>718</v>
      </c>
      <c r="AL4" s="113"/>
      <c r="AM4" s="113"/>
      <c r="AN4" s="140" t="s">
        <v>719</v>
      </c>
      <c r="AO4" s="140" t="s">
        <v>720</v>
      </c>
      <c r="AP4" s="141" t="s">
        <v>721</v>
      </c>
      <c r="AQ4" s="139" t="s">
        <v>718</v>
      </c>
      <c r="AR4" s="113"/>
      <c r="AS4" s="113"/>
      <c r="AT4" s="140" t="s">
        <v>719</v>
      </c>
      <c r="AU4" s="140" t="s">
        <v>720</v>
      </c>
      <c r="AV4" s="141" t="s">
        <v>721</v>
      </c>
      <c r="AW4" s="139" t="s">
        <v>718</v>
      </c>
      <c r="AX4" s="113"/>
      <c r="AY4" s="113"/>
      <c r="AZ4" s="140" t="s">
        <v>719</v>
      </c>
      <c r="BA4" s="140" t="s">
        <v>720</v>
      </c>
      <c r="BB4" s="141" t="s">
        <v>721</v>
      </c>
      <c r="BC4" s="139" t="s">
        <v>718</v>
      </c>
      <c r="BD4" s="113"/>
      <c r="BE4" s="113"/>
      <c r="BF4" s="140" t="s">
        <v>719</v>
      </c>
      <c r="BG4" s="140" t="s">
        <v>720</v>
      </c>
      <c r="BH4" s="141" t="s">
        <v>721</v>
      </c>
      <c r="BI4" s="139" t="s">
        <v>718</v>
      </c>
      <c r="BJ4" s="113"/>
      <c r="BK4" s="113"/>
      <c r="BL4" s="140" t="s">
        <v>719</v>
      </c>
      <c r="BM4" s="140" t="s">
        <v>720</v>
      </c>
      <c r="BN4" s="141" t="s">
        <v>721</v>
      </c>
      <c r="BO4" s="139" t="s">
        <v>718</v>
      </c>
      <c r="BP4" s="113"/>
      <c r="BQ4" s="113"/>
      <c r="BR4" s="140" t="s">
        <v>719</v>
      </c>
      <c r="BS4" s="140" t="s">
        <v>720</v>
      </c>
      <c r="BT4" s="141" t="s">
        <v>721</v>
      </c>
    </row>
    <row r="5" spans="1:72">
      <c r="A5" s="373"/>
      <c r="B5" s="374"/>
      <c r="C5" s="374"/>
      <c r="D5" s="374"/>
      <c r="E5" s="374"/>
      <c r="F5" s="375"/>
      <c r="G5" s="395"/>
      <c r="H5" s="396"/>
      <c r="I5" s="396"/>
      <c r="J5" s="396"/>
      <c r="K5" s="396"/>
      <c r="L5" s="397"/>
      <c r="M5" s="413"/>
      <c r="N5" s="414"/>
      <c r="O5" s="414"/>
      <c r="P5" s="414"/>
      <c r="Q5" s="414"/>
      <c r="R5" s="415"/>
      <c r="S5" s="429"/>
      <c r="T5" s="430"/>
      <c r="U5" s="430"/>
      <c r="V5" s="430"/>
      <c r="W5" s="430"/>
      <c r="X5" s="431"/>
      <c r="Y5" s="445"/>
      <c r="Z5" s="446"/>
      <c r="AA5" s="446"/>
      <c r="AB5" s="446"/>
      <c r="AC5" s="446"/>
      <c r="AD5" s="447"/>
      <c r="AE5" s="461"/>
      <c r="AF5" s="462"/>
      <c r="AG5" s="462"/>
      <c r="AH5" s="462"/>
      <c r="AI5" s="462"/>
      <c r="AJ5" s="463"/>
      <c r="AK5" s="122"/>
      <c r="AL5" s="118"/>
      <c r="AM5" s="118"/>
      <c r="AN5" s="118"/>
      <c r="AO5" s="118"/>
      <c r="AP5" s="123"/>
      <c r="AQ5" s="122"/>
      <c r="AR5" s="118"/>
      <c r="AS5" s="118"/>
      <c r="AT5" s="118"/>
      <c r="AU5" s="118"/>
      <c r="AV5" s="123"/>
      <c r="AW5" s="122"/>
      <c r="AX5" s="118"/>
      <c r="AY5" s="118"/>
      <c r="AZ5" s="118"/>
      <c r="BA5" s="118"/>
      <c r="BB5" s="123"/>
      <c r="BC5" s="122"/>
      <c r="BD5" s="118"/>
      <c r="BE5" s="118"/>
      <c r="BF5" s="118"/>
      <c r="BG5" s="118"/>
      <c r="BH5" s="123"/>
      <c r="BI5" s="122"/>
      <c r="BJ5" s="118"/>
      <c r="BK5" s="118"/>
      <c r="BL5" s="118"/>
      <c r="BM5" s="118"/>
      <c r="BN5" s="123"/>
      <c r="BO5" s="122"/>
      <c r="BP5" s="118"/>
      <c r="BQ5" s="118"/>
      <c r="BR5" s="118"/>
      <c r="BS5" s="118"/>
      <c r="BT5" s="123"/>
    </row>
    <row r="6" spans="1:72">
      <c r="A6" s="376" t="s">
        <v>722</v>
      </c>
      <c r="B6" s="377" t="s">
        <v>723</v>
      </c>
      <c r="C6" s="374"/>
      <c r="D6" s="385">
        <v>7</v>
      </c>
      <c r="E6" s="385">
        <v>101903</v>
      </c>
      <c r="F6" s="386">
        <v>176</v>
      </c>
      <c r="G6" s="398" t="s">
        <v>722</v>
      </c>
      <c r="H6" s="399" t="s">
        <v>723</v>
      </c>
      <c r="I6" s="396"/>
      <c r="J6" s="400">
        <v>7</v>
      </c>
      <c r="K6" s="400">
        <v>105082</v>
      </c>
      <c r="L6" s="401">
        <v>199.76</v>
      </c>
      <c r="M6" s="416" t="s">
        <v>722</v>
      </c>
      <c r="N6" s="417" t="s">
        <v>723</v>
      </c>
      <c r="O6" s="414"/>
      <c r="P6" s="418">
        <v>7</v>
      </c>
      <c r="Q6" s="418">
        <v>80589</v>
      </c>
      <c r="R6" s="419">
        <v>169.6</v>
      </c>
      <c r="S6" s="432" t="s">
        <v>722</v>
      </c>
      <c r="T6" s="433" t="s">
        <v>723</v>
      </c>
      <c r="U6" s="430"/>
      <c r="V6" s="434">
        <v>7</v>
      </c>
      <c r="W6" s="434">
        <v>95232</v>
      </c>
      <c r="X6" s="435">
        <v>170.08</v>
      </c>
      <c r="Y6" s="448" t="s">
        <v>722</v>
      </c>
      <c r="Z6" s="449" t="s">
        <v>723</v>
      </c>
      <c r="AA6" s="446"/>
      <c r="AB6" s="450">
        <v>7</v>
      </c>
      <c r="AC6" s="450">
        <v>105122</v>
      </c>
      <c r="AD6" s="451">
        <v>190</v>
      </c>
      <c r="AE6" s="464" t="s">
        <v>722</v>
      </c>
      <c r="AF6" s="465" t="s">
        <v>723</v>
      </c>
      <c r="AG6" s="462"/>
      <c r="AH6" s="466">
        <v>7</v>
      </c>
      <c r="AI6" s="466">
        <v>109847</v>
      </c>
      <c r="AJ6" s="467">
        <v>207.84</v>
      </c>
      <c r="AK6" s="142" t="s">
        <v>722</v>
      </c>
      <c r="AL6" s="143" t="s">
        <v>723</v>
      </c>
      <c r="AM6" s="118"/>
      <c r="AN6" s="144">
        <v>7</v>
      </c>
      <c r="AO6" s="144">
        <v>110355</v>
      </c>
      <c r="AP6" s="145">
        <v>194.24</v>
      </c>
      <c r="AQ6" s="142" t="s">
        <v>722</v>
      </c>
      <c r="AR6" s="143" t="s">
        <v>723</v>
      </c>
      <c r="AS6" s="118"/>
      <c r="AT6" s="144">
        <v>7</v>
      </c>
      <c r="AU6" s="144">
        <v>127478</v>
      </c>
      <c r="AV6" s="145">
        <v>199.12</v>
      </c>
      <c r="AW6" s="142" t="s">
        <v>722</v>
      </c>
      <c r="AX6" s="143" t="s">
        <v>723</v>
      </c>
      <c r="AY6" s="118"/>
      <c r="AZ6" s="144">
        <v>7</v>
      </c>
      <c r="BA6" s="144">
        <v>120826</v>
      </c>
      <c r="BB6" s="145">
        <v>208.48</v>
      </c>
      <c r="BC6" s="142" t="s">
        <v>722</v>
      </c>
      <c r="BD6" s="143" t="s">
        <v>723</v>
      </c>
      <c r="BE6" s="118"/>
      <c r="BF6" s="144">
        <v>7</v>
      </c>
      <c r="BG6" s="144">
        <v>105579</v>
      </c>
      <c r="BH6" s="145">
        <v>183.36</v>
      </c>
      <c r="BI6" s="142" t="s">
        <v>722</v>
      </c>
      <c r="BJ6" s="143" t="s">
        <v>723</v>
      </c>
      <c r="BK6" s="118"/>
      <c r="BL6" s="144">
        <v>7</v>
      </c>
      <c r="BM6" s="144">
        <v>110319</v>
      </c>
      <c r="BN6" s="145">
        <v>177.84</v>
      </c>
      <c r="BO6" s="142" t="s">
        <v>722</v>
      </c>
      <c r="BP6" s="143" t="s">
        <v>723</v>
      </c>
      <c r="BQ6" s="118"/>
      <c r="BR6" s="144">
        <v>7</v>
      </c>
      <c r="BS6" s="144">
        <v>95546</v>
      </c>
      <c r="BT6" s="145">
        <v>172.56</v>
      </c>
    </row>
    <row r="7" spans="1:72">
      <c r="A7" s="376" t="s">
        <v>724</v>
      </c>
      <c r="B7" s="377" t="s">
        <v>725</v>
      </c>
      <c r="C7" s="374"/>
      <c r="D7" s="385">
        <v>6</v>
      </c>
      <c r="E7" s="385">
        <v>514096</v>
      </c>
      <c r="F7" s="386">
        <v>1656.24</v>
      </c>
      <c r="G7" s="398" t="s">
        <v>724</v>
      </c>
      <c r="H7" s="399" t="s">
        <v>725</v>
      </c>
      <c r="I7" s="396"/>
      <c r="J7" s="400">
        <v>6</v>
      </c>
      <c r="K7" s="400">
        <v>782600</v>
      </c>
      <c r="L7" s="401">
        <v>1727.52</v>
      </c>
      <c r="M7" s="416" t="s">
        <v>724</v>
      </c>
      <c r="N7" s="417" t="s">
        <v>725</v>
      </c>
      <c r="O7" s="414"/>
      <c r="P7" s="418">
        <v>6</v>
      </c>
      <c r="Q7" s="418">
        <v>698552</v>
      </c>
      <c r="R7" s="419">
        <v>1845.6</v>
      </c>
      <c r="S7" s="432" t="s">
        <v>724</v>
      </c>
      <c r="T7" s="433" t="s">
        <v>725</v>
      </c>
      <c r="U7" s="430"/>
      <c r="V7" s="434">
        <v>6</v>
      </c>
      <c r="W7" s="434">
        <v>765816</v>
      </c>
      <c r="X7" s="435">
        <v>1994.4</v>
      </c>
      <c r="Y7" s="448" t="s">
        <v>724</v>
      </c>
      <c r="Z7" s="449" t="s">
        <v>725</v>
      </c>
      <c r="AA7" s="446"/>
      <c r="AB7" s="450">
        <v>6</v>
      </c>
      <c r="AC7" s="450">
        <v>928944</v>
      </c>
      <c r="AD7" s="451">
        <v>2204.48</v>
      </c>
      <c r="AE7" s="464" t="s">
        <v>724</v>
      </c>
      <c r="AF7" s="465" t="s">
        <v>725</v>
      </c>
      <c r="AG7" s="462"/>
      <c r="AH7" s="466">
        <v>6</v>
      </c>
      <c r="AI7" s="466">
        <v>804432</v>
      </c>
      <c r="AJ7" s="467">
        <v>1592.48</v>
      </c>
      <c r="AK7" s="142" t="s">
        <v>724</v>
      </c>
      <c r="AL7" s="143" t="s">
        <v>725</v>
      </c>
      <c r="AM7" s="118"/>
      <c r="AN7" s="144">
        <v>6</v>
      </c>
      <c r="AO7" s="144">
        <v>866024</v>
      </c>
      <c r="AP7" s="145">
        <v>1806.48</v>
      </c>
      <c r="AQ7" s="142" t="s">
        <v>724</v>
      </c>
      <c r="AR7" s="143" t="s">
        <v>725</v>
      </c>
      <c r="AS7" s="118"/>
      <c r="AT7" s="144">
        <v>6</v>
      </c>
      <c r="AU7" s="144">
        <v>1032560</v>
      </c>
      <c r="AV7" s="145">
        <v>1852.56</v>
      </c>
      <c r="AW7" s="142" t="s">
        <v>724</v>
      </c>
      <c r="AX7" s="143" t="s">
        <v>725</v>
      </c>
      <c r="AY7" s="118"/>
      <c r="AZ7" s="144">
        <v>6</v>
      </c>
      <c r="BA7" s="144">
        <v>1064816</v>
      </c>
      <c r="BB7" s="145">
        <v>2202.96</v>
      </c>
      <c r="BC7" s="142" t="s">
        <v>724</v>
      </c>
      <c r="BD7" s="143" t="s">
        <v>725</v>
      </c>
      <c r="BE7" s="118"/>
      <c r="BF7" s="144">
        <v>6</v>
      </c>
      <c r="BG7" s="144">
        <v>937744</v>
      </c>
      <c r="BH7" s="145">
        <v>2240.16</v>
      </c>
      <c r="BI7" s="142" t="s">
        <v>724</v>
      </c>
      <c r="BJ7" s="143" t="s">
        <v>725</v>
      </c>
      <c r="BK7" s="118"/>
      <c r="BL7" s="144">
        <v>6</v>
      </c>
      <c r="BM7" s="144">
        <v>883688</v>
      </c>
      <c r="BN7" s="145">
        <v>1915.6</v>
      </c>
      <c r="BO7" s="142" t="s">
        <v>724</v>
      </c>
      <c r="BP7" s="143" t="s">
        <v>725</v>
      </c>
      <c r="BQ7" s="118"/>
      <c r="BR7" s="144">
        <v>6</v>
      </c>
      <c r="BS7" s="144">
        <v>676056</v>
      </c>
      <c r="BT7" s="145">
        <v>1764.08</v>
      </c>
    </row>
    <row r="8" spans="1:72">
      <c r="A8" s="376" t="s">
        <v>728</v>
      </c>
      <c r="B8" s="377" t="s">
        <v>729</v>
      </c>
      <c r="C8" s="374"/>
      <c r="D8" s="385">
        <v>40</v>
      </c>
      <c r="E8" s="385">
        <v>933172</v>
      </c>
      <c r="F8" s="386">
        <v>3217.7</v>
      </c>
      <c r="G8" s="398" t="s">
        <v>728</v>
      </c>
      <c r="H8" s="399" t="s">
        <v>729</v>
      </c>
      <c r="I8" s="396"/>
      <c r="J8" s="400">
        <v>40</v>
      </c>
      <c r="K8" s="400">
        <v>1974967</v>
      </c>
      <c r="L8" s="401">
        <v>3734.54</v>
      </c>
      <c r="M8" s="416" t="s">
        <v>728</v>
      </c>
      <c r="N8" s="417" t="s">
        <v>729</v>
      </c>
      <c r="O8" s="414"/>
      <c r="P8" s="418">
        <v>40</v>
      </c>
      <c r="Q8" s="418">
        <v>1439162</v>
      </c>
      <c r="R8" s="419">
        <v>3715.74</v>
      </c>
      <c r="S8" s="432" t="s">
        <v>728</v>
      </c>
      <c r="T8" s="433" t="s">
        <v>729</v>
      </c>
      <c r="U8" s="430"/>
      <c r="V8" s="434">
        <v>40</v>
      </c>
      <c r="W8" s="434">
        <v>1707542</v>
      </c>
      <c r="X8" s="435">
        <v>3703.16</v>
      </c>
      <c r="Y8" s="448" t="s">
        <v>728</v>
      </c>
      <c r="Z8" s="449" t="s">
        <v>729</v>
      </c>
      <c r="AA8" s="446"/>
      <c r="AB8" s="450">
        <v>40</v>
      </c>
      <c r="AC8" s="450">
        <v>1703002</v>
      </c>
      <c r="AD8" s="451">
        <v>3625.1</v>
      </c>
      <c r="AE8" s="464" t="s">
        <v>728</v>
      </c>
      <c r="AF8" s="465" t="s">
        <v>729</v>
      </c>
      <c r="AG8" s="462"/>
      <c r="AH8" s="466">
        <v>40</v>
      </c>
      <c r="AI8" s="466">
        <v>740229</v>
      </c>
      <c r="AJ8" s="467">
        <v>1482.17</v>
      </c>
      <c r="AK8" s="142" t="s">
        <v>728</v>
      </c>
      <c r="AL8" s="143" t="s">
        <v>729</v>
      </c>
      <c r="AM8" s="118"/>
      <c r="AN8" s="144">
        <v>40</v>
      </c>
      <c r="AO8" s="144">
        <v>758449</v>
      </c>
      <c r="AP8" s="145">
        <v>1635.68</v>
      </c>
      <c r="AQ8" s="142" t="s">
        <v>728</v>
      </c>
      <c r="AR8" s="143" t="s">
        <v>729</v>
      </c>
      <c r="AS8" s="118"/>
      <c r="AT8" s="144">
        <v>40</v>
      </c>
      <c r="AU8" s="144">
        <v>940303</v>
      </c>
      <c r="AV8" s="145">
        <v>1905.06</v>
      </c>
      <c r="AW8" s="142" t="s">
        <v>728</v>
      </c>
      <c r="AX8" s="143" t="s">
        <v>729</v>
      </c>
      <c r="AY8" s="118"/>
      <c r="AZ8" s="144">
        <v>40</v>
      </c>
      <c r="BA8" s="144">
        <v>1832752</v>
      </c>
      <c r="BB8" s="145">
        <v>3969.54</v>
      </c>
      <c r="BC8" s="142" t="s">
        <v>728</v>
      </c>
      <c r="BD8" s="143" t="s">
        <v>729</v>
      </c>
      <c r="BE8" s="118"/>
      <c r="BF8" s="144">
        <v>40</v>
      </c>
      <c r="BG8" s="144">
        <v>1732203</v>
      </c>
      <c r="BH8" s="145">
        <v>3710.77</v>
      </c>
      <c r="BI8" s="142" t="s">
        <v>728</v>
      </c>
      <c r="BJ8" s="143" t="s">
        <v>729</v>
      </c>
      <c r="BK8" s="118"/>
      <c r="BL8" s="144">
        <v>40</v>
      </c>
      <c r="BM8" s="144">
        <v>1965789</v>
      </c>
      <c r="BN8" s="145">
        <v>3744.65</v>
      </c>
      <c r="BO8" s="142" t="s">
        <v>728</v>
      </c>
      <c r="BP8" s="143" t="s">
        <v>729</v>
      </c>
      <c r="BQ8" s="118"/>
      <c r="BR8" s="144">
        <v>40</v>
      </c>
      <c r="BS8" s="144">
        <v>1478878</v>
      </c>
      <c r="BT8" s="145">
        <v>3636.36</v>
      </c>
    </row>
    <row r="9" spans="1:72">
      <c r="A9" s="376" t="s">
        <v>730</v>
      </c>
      <c r="B9" s="377" t="s">
        <v>731</v>
      </c>
      <c r="C9" s="374"/>
      <c r="D9" s="385">
        <v>15</v>
      </c>
      <c r="E9" s="385">
        <v>568666</v>
      </c>
      <c r="F9" s="386">
        <v>1792.68</v>
      </c>
      <c r="G9" s="398" t="s">
        <v>730</v>
      </c>
      <c r="H9" s="399" t="s">
        <v>731</v>
      </c>
      <c r="I9" s="396"/>
      <c r="J9" s="400">
        <v>15</v>
      </c>
      <c r="K9" s="400">
        <v>601511</v>
      </c>
      <c r="L9" s="401">
        <v>1776.28</v>
      </c>
      <c r="M9" s="416" t="s">
        <v>730</v>
      </c>
      <c r="N9" s="417" t="s">
        <v>731</v>
      </c>
      <c r="O9" s="414"/>
      <c r="P9" s="418">
        <v>17</v>
      </c>
      <c r="Q9" s="418">
        <v>432141</v>
      </c>
      <c r="R9" s="419">
        <v>2401.13</v>
      </c>
      <c r="S9" s="432" t="s">
        <v>730</v>
      </c>
      <c r="T9" s="433" t="s">
        <v>731</v>
      </c>
      <c r="U9" s="430"/>
      <c r="V9" s="434">
        <v>15</v>
      </c>
      <c r="W9" s="434">
        <v>497894</v>
      </c>
      <c r="X9" s="435">
        <v>2604.87</v>
      </c>
      <c r="Y9" s="448" t="s">
        <v>730</v>
      </c>
      <c r="Z9" s="449" t="s">
        <v>731</v>
      </c>
      <c r="AA9" s="446"/>
      <c r="AB9" s="450">
        <v>15</v>
      </c>
      <c r="AC9" s="450">
        <v>766418</v>
      </c>
      <c r="AD9" s="451">
        <v>2705.3</v>
      </c>
      <c r="AE9" s="464" t="s">
        <v>730</v>
      </c>
      <c r="AF9" s="465" t="s">
        <v>731</v>
      </c>
      <c r="AG9" s="462"/>
      <c r="AH9" s="466">
        <v>15</v>
      </c>
      <c r="AI9" s="466">
        <v>710271</v>
      </c>
      <c r="AJ9" s="467">
        <v>2288.1999999999998</v>
      </c>
      <c r="AK9" s="142" t="s">
        <v>730</v>
      </c>
      <c r="AL9" s="143" t="s">
        <v>731</v>
      </c>
      <c r="AM9" s="118"/>
      <c r="AN9" s="144">
        <v>16</v>
      </c>
      <c r="AO9" s="144">
        <v>1232034</v>
      </c>
      <c r="AP9" s="145">
        <v>2559.6</v>
      </c>
      <c r="AQ9" s="142" t="s">
        <v>730</v>
      </c>
      <c r="AR9" s="143" t="s">
        <v>731</v>
      </c>
      <c r="AS9" s="118"/>
      <c r="AT9" s="144">
        <v>17</v>
      </c>
      <c r="AU9" s="144">
        <v>1469352</v>
      </c>
      <c r="AV9" s="145">
        <v>3407.04</v>
      </c>
      <c r="AW9" s="142" t="s">
        <v>730</v>
      </c>
      <c r="AX9" s="143" t="s">
        <v>731</v>
      </c>
      <c r="AY9" s="118"/>
      <c r="AZ9" s="144">
        <v>17</v>
      </c>
      <c r="BA9" s="144">
        <v>1376061</v>
      </c>
      <c r="BB9" s="145">
        <v>3826</v>
      </c>
      <c r="BC9" s="142" t="s">
        <v>730</v>
      </c>
      <c r="BD9" s="143" t="s">
        <v>731</v>
      </c>
      <c r="BE9" s="118"/>
      <c r="BF9" s="144">
        <v>17</v>
      </c>
      <c r="BG9" s="144">
        <v>1179393</v>
      </c>
      <c r="BH9" s="145">
        <v>4506.76</v>
      </c>
      <c r="BI9" s="142" t="s">
        <v>730</v>
      </c>
      <c r="BJ9" s="143" t="s">
        <v>731</v>
      </c>
      <c r="BK9" s="118"/>
      <c r="BL9" s="144">
        <v>17</v>
      </c>
      <c r="BM9" s="144">
        <v>1340585</v>
      </c>
      <c r="BN9" s="145">
        <v>4685.1400000000003</v>
      </c>
      <c r="BO9" s="142" t="s">
        <v>730</v>
      </c>
      <c r="BP9" s="143" t="s">
        <v>731</v>
      </c>
      <c r="BQ9" s="118"/>
      <c r="BR9" s="144">
        <v>17</v>
      </c>
      <c r="BS9" s="144">
        <v>1055720</v>
      </c>
      <c r="BT9" s="145">
        <v>3981.87</v>
      </c>
    </row>
    <row r="10" spans="1:72">
      <c r="A10" s="376" t="s">
        <v>732</v>
      </c>
      <c r="B10" s="377" t="s">
        <v>733</v>
      </c>
      <c r="C10" s="374"/>
      <c r="D10" s="385">
        <v>16</v>
      </c>
      <c r="E10" s="385">
        <v>945908</v>
      </c>
      <c r="F10" s="386">
        <v>2044.43</v>
      </c>
      <c r="G10" s="398" t="s">
        <v>732</v>
      </c>
      <c r="H10" s="399" t="s">
        <v>733</v>
      </c>
      <c r="I10" s="396"/>
      <c r="J10" s="400">
        <v>16</v>
      </c>
      <c r="K10" s="400">
        <v>1331603</v>
      </c>
      <c r="L10" s="401">
        <v>3056.39</v>
      </c>
      <c r="M10" s="416" t="s">
        <v>732</v>
      </c>
      <c r="N10" s="417" t="s">
        <v>733</v>
      </c>
      <c r="O10" s="414"/>
      <c r="P10" s="418">
        <v>16</v>
      </c>
      <c r="Q10" s="418">
        <v>1112456</v>
      </c>
      <c r="R10" s="419">
        <v>2791.37</v>
      </c>
      <c r="S10" s="432" t="s">
        <v>732</v>
      </c>
      <c r="T10" s="433" t="s">
        <v>733</v>
      </c>
      <c r="U10" s="430"/>
      <c r="V10" s="434">
        <v>16</v>
      </c>
      <c r="W10" s="434">
        <v>1106848</v>
      </c>
      <c r="X10" s="435">
        <v>2930</v>
      </c>
      <c r="Y10" s="448" t="s">
        <v>732</v>
      </c>
      <c r="Z10" s="449" t="s">
        <v>733</v>
      </c>
      <c r="AA10" s="446"/>
      <c r="AB10" s="450">
        <v>16</v>
      </c>
      <c r="AC10" s="450">
        <v>1290301</v>
      </c>
      <c r="AD10" s="451">
        <v>2951.65</v>
      </c>
      <c r="AE10" s="464" t="s">
        <v>732</v>
      </c>
      <c r="AF10" s="465" t="s">
        <v>733</v>
      </c>
      <c r="AG10" s="462"/>
      <c r="AH10" s="466">
        <v>16</v>
      </c>
      <c r="AI10" s="466">
        <v>1221497</v>
      </c>
      <c r="AJ10" s="467">
        <v>2607.1999999999998</v>
      </c>
      <c r="AK10" s="142" t="s">
        <v>732</v>
      </c>
      <c r="AL10" s="143" t="s">
        <v>733</v>
      </c>
      <c r="AM10" s="118"/>
      <c r="AN10" s="144">
        <v>16</v>
      </c>
      <c r="AO10" s="144">
        <v>1378562</v>
      </c>
      <c r="AP10" s="145">
        <v>2845.5</v>
      </c>
      <c r="AQ10" s="142" t="s">
        <v>732</v>
      </c>
      <c r="AR10" s="143" t="s">
        <v>733</v>
      </c>
      <c r="AS10" s="118"/>
      <c r="AT10" s="144">
        <v>16</v>
      </c>
      <c r="AU10" s="144">
        <v>1501925</v>
      </c>
      <c r="AV10" s="145">
        <v>3017.24</v>
      </c>
      <c r="AW10" s="142" t="s">
        <v>732</v>
      </c>
      <c r="AX10" s="143" t="s">
        <v>733</v>
      </c>
      <c r="AY10" s="118"/>
      <c r="AZ10" s="144">
        <v>16</v>
      </c>
      <c r="BA10" s="144">
        <v>1470803</v>
      </c>
      <c r="BB10" s="145">
        <v>3092.39</v>
      </c>
      <c r="BC10" s="142" t="s">
        <v>732</v>
      </c>
      <c r="BD10" s="143" t="s">
        <v>733</v>
      </c>
      <c r="BE10" s="118"/>
      <c r="BF10" s="144">
        <v>16</v>
      </c>
      <c r="BG10" s="144">
        <v>1391593</v>
      </c>
      <c r="BH10" s="145">
        <v>3057.25</v>
      </c>
      <c r="BI10" s="142" t="s">
        <v>732</v>
      </c>
      <c r="BJ10" s="143" t="s">
        <v>733</v>
      </c>
      <c r="BK10" s="118"/>
      <c r="BL10" s="144">
        <v>16</v>
      </c>
      <c r="BM10" s="144">
        <v>1415328</v>
      </c>
      <c r="BN10" s="145">
        <v>3107.77</v>
      </c>
      <c r="BO10" s="142" t="s">
        <v>732</v>
      </c>
      <c r="BP10" s="143" t="s">
        <v>733</v>
      </c>
      <c r="BQ10" s="118"/>
      <c r="BR10" s="144">
        <v>16</v>
      </c>
      <c r="BS10" s="144">
        <v>1122324</v>
      </c>
      <c r="BT10" s="145">
        <v>2798.07</v>
      </c>
    </row>
    <row r="11" spans="1:72">
      <c r="A11" s="378" t="s">
        <v>734</v>
      </c>
      <c r="B11" s="374"/>
      <c r="C11" s="374"/>
      <c r="D11" s="385">
        <v>84</v>
      </c>
      <c r="E11" s="385">
        <v>3063745</v>
      </c>
      <c r="F11" s="386">
        <v>8887.0499999999993</v>
      </c>
      <c r="G11" s="402" t="s">
        <v>734</v>
      </c>
      <c r="H11" s="396"/>
      <c r="I11" s="396"/>
      <c r="J11" s="400">
        <v>84</v>
      </c>
      <c r="K11" s="400">
        <v>4795763</v>
      </c>
      <c r="L11" s="401">
        <v>10494.49</v>
      </c>
      <c r="M11" s="420" t="s">
        <v>734</v>
      </c>
      <c r="N11" s="414"/>
      <c r="O11" s="414"/>
      <c r="P11" s="418">
        <v>86</v>
      </c>
      <c r="Q11" s="418">
        <v>3762900</v>
      </c>
      <c r="R11" s="419">
        <v>10923.44</v>
      </c>
      <c r="S11" s="436" t="s">
        <v>734</v>
      </c>
      <c r="T11" s="430"/>
      <c r="U11" s="430"/>
      <c r="V11" s="434">
        <v>84</v>
      </c>
      <c r="W11" s="434">
        <v>4173332</v>
      </c>
      <c r="X11" s="435">
        <v>11402.51</v>
      </c>
      <c r="Y11" s="452" t="s">
        <v>734</v>
      </c>
      <c r="Z11" s="446"/>
      <c r="AA11" s="446"/>
      <c r="AB11" s="450">
        <v>84</v>
      </c>
      <c r="AC11" s="450">
        <v>4793787</v>
      </c>
      <c r="AD11" s="451">
        <v>11676.53</v>
      </c>
      <c r="AE11" s="468" t="s">
        <v>734</v>
      </c>
      <c r="AF11" s="462"/>
      <c r="AG11" s="462"/>
      <c r="AH11" s="466">
        <v>84</v>
      </c>
      <c r="AI11" s="466">
        <v>3586276</v>
      </c>
      <c r="AJ11" s="467">
        <v>8177.89</v>
      </c>
      <c r="AK11" s="146" t="s">
        <v>734</v>
      </c>
      <c r="AL11" s="118"/>
      <c r="AM11" s="118"/>
      <c r="AN11" s="144">
        <v>85</v>
      </c>
      <c r="AO11" s="144">
        <v>4345424</v>
      </c>
      <c r="AP11" s="145">
        <v>9041.5</v>
      </c>
      <c r="AQ11" s="146" t="s">
        <v>734</v>
      </c>
      <c r="AR11" s="118"/>
      <c r="AS11" s="118"/>
      <c r="AT11" s="144">
        <v>86</v>
      </c>
      <c r="AU11" s="144">
        <v>5071618</v>
      </c>
      <c r="AV11" s="145">
        <v>10381.02</v>
      </c>
      <c r="AW11" s="146" t="s">
        <v>734</v>
      </c>
      <c r="AX11" s="118"/>
      <c r="AY11" s="118"/>
      <c r="AZ11" s="144">
        <v>86</v>
      </c>
      <c r="BA11" s="144">
        <v>5865258</v>
      </c>
      <c r="BB11" s="145">
        <v>13299.37</v>
      </c>
      <c r="BC11" s="146" t="s">
        <v>734</v>
      </c>
      <c r="BD11" s="118"/>
      <c r="BE11" s="118"/>
      <c r="BF11" s="144">
        <v>86</v>
      </c>
      <c r="BG11" s="144">
        <v>5346512</v>
      </c>
      <c r="BH11" s="145">
        <v>13698.3</v>
      </c>
      <c r="BI11" s="146" t="s">
        <v>734</v>
      </c>
      <c r="BJ11" s="118"/>
      <c r="BK11" s="118"/>
      <c r="BL11" s="144">
        <v>86</v>
      </c>
      <c r="BM11" s="144">
        <v>5715709</v>
      </c>
      <c r="BN11" s="145">
        <v>13631</v>
      </c>
      <c r="BO11" s="146" t="s">
        <v>734</v>
      </c>
      <c r="BP11" s="118"/>
      <c r="BQ11" s="118"/>
      <c r="BR11" s="144">
        <v>86</v>
      </c>
      <c r="BS11" s="144">
        <v>4428524</v>
      </c>
      <c r="BT11" s="145">
        <v>12352.94</v>
      </c>
    </row>
    <row r="12" spans="1:72">
      <c r="A12" s="373"/>
      <c r="B12" s="374"/>
      <c r="C12" s="374"/>
      <c r="D12" s="374"/>
      <c r="E12" s="374"/>
      <c r="F12" s="375"/>
      <c r="G12" s="395"/>
      <c r="H12" s="396"/>
      <c r="I12" s="396"/>
      <c r="J12" s="396"/>
      <c r="K12" s="396"/>
      <c r="L12" s="397"/>
      <c r="M12" s="413"/>
      <c r="N12" s="414"/>
      <c r="O12" s="414"/>
      <c r="P12" s="414"/>
      <c r="Q12" s="414"/>
      <c r="R12" s="415"/>
      <c r="S12" s="429"/>
      <c r="T12" s="430"/>
      <c r="U12" s="430"/>
      <c r="V12" s="430"/>
      <c r="W12" s="430"/>
      <c r="X12" s="431"/>
      <c r="Y12" s="445"/>
      <c r="Z12" s="446"/>
      <c r="AA12" s="446"/>
      <c r="AB12" s="446"/>
      <c r="AC12" s="446"/>
      <c r="AD12" s="447"/>
      <c r="AE12" s="461"/>
      <c r="AF12" s="462"/>
      <c r="AG12" s="462"/>
      <c r="AH12" s="462"/>
      <c r="AI12" s="462"/>
      <c r="AJ12" s="463"/>
      <c r="AK12" s="122"/>
      <c r="AL12" s="118"/>
      <c r="AM12" s="118"/>
      <c r="AN12" s="118"/>
      <c r="AO12" s="118"/>
      <c r="AP12" s="123"/>
      <c r="AQ12" s="122"/>
      <c r="AR12" s="118"/>
      <c r="AS12" s="118"/>
      <c r="AT12" s="118"/>
      <c r="AU12" s="118"/>
      <c r="AV12" s="123"/>
      <c r="AW12" s="122"/>
      <c r="AX12" s="118"/>
      <c r="AY12" s="118"/>
      <c r="AZ12" s="118"/>
      <c r="BA12" s="118"/>
      <c r="BB12" s="123"/>
      <c r="BC12" s="122"/>
      <c r="BD12" s="118"/>
      <c r="BE12" s="118"/>
      <c r="BF12" s="118"/>
      <c r="BG12" s="118"/>
      <c r="BH12" s="123"/>
      <c r="BI12" s="122"/>
      <c r="BJ12" s="118"/>
      <c r="BK12" s="118"/>
      <c r="BL12" s="118"/>
      <c r="BM12" s="118"/>
      <c r="BN12" s="123"/>
      <c r="BO12" s="122"/>
      <c r="BP12" s="118"/>
      <c r="BQ12" s="118"/>
      <c r="BR12" s="118"/>
      <c r="BS12" s="118"/>
      <c r="BT12" s="123"/>
    </row>
    <row r="13" spans="1:72">
      <c r="A13" s="376" t="s">
        <v>735</v>
      </c>
      <c r="B13" s="377" t="s">
        <v>736</v>
      </c>
      <c r="C13" s="374"/>
      <c r="D13" s="385">
        <v>221</v>
      </c>
      <c r="E13" s="385">
        <v>9332329</v>
      </c>
      <c r="F13" s="386">
        <v>19725.41</v>
      </c>
      <c r="G13" s="398" t="s">
        <v>735</v>
      </c>
      <c r="H13" s="399" t="s">
        <v>736</v>
      </c>
      <c r="I13" s="396"/>
      <c r="J13" s="400">
        <v>215</v>
      </c>
      <c r="K13" s="400">
        <v>10953094</v>
      </c>
      <c r="L13" s="401">
        <v>20374.37</v>
      </c>
      <c r="M13" s="416" t="s">
        <v>735</v>
      </c>
      <c r="N13" s="417" t="s">
        <v>736</v>
      </c>
      <c r="O13" s="414"/>
      <c r="P13" s="418">
        <v>217</v>
      </c>
      <c r="Q13" s="418">
        <v>9281675</v>
      </c>
      <c r="R13" s="419">
        <v>22210.41</v>
      </c>
      <c r="S13" s="432" t="s">
        <v>735</v>
      </c>
      <c r="T13" s="433" t="s">
        <v>736</v>
      </c>
      <c r="U13" s="430"/>
      <c r="V13" s="434">
        <v>218</v>
      </c>
      <c r="W13" s="434">
        <v>10354191</v>
      </c>
      <c r="X13" s="435">
        <v>22891.82</v>
      </c>
      <c r="Y13" s="448" t="s">
        <v>735</v>
      </c>
      <c r="Z13" s="449" t="s">
        <v>736</v>
      </c>
      <c r="AA13" s="446"/>
      <c r="AB13" s="450">
        <v>218</v>
      </c>
      <c r="AC13" s="450">
        <v>10442335</v>
      </c>
      <c r="AD13" s="451">
        <v>23797.52</v>
      </c>
      <c r="AE13" s="464" t="s">
        <v>735</v>
      </c>
      <c r="AF13" s="465" t="s">
        <v>736</v>
      </c>
      <c r="AG13" s="462"/>
      <c r="AH13" s="466">
        <v>219</v>
      </c>
      <c r="AI13" s="466">
        <v>10661601</v>
      </c>
      <c r="AJ13" s="467">
        <v>24184.639999999999</v>
      </c>
      <c r="AK13" s="142" t="s">
        <v>735</v>
      </c>
      <c r="AL13" s="143" t="s">
        <v>736</v>
      </c>
      <c r="AM13" s="118"/>
      <c r="AN13" s="144">
        <v>220</v>
      </c>
      <c r="AO13" s="144">
        <v>11144405</v>
      </c>
      <c r="AP13" s="145">
        <v>24656.85</v>
      </c>
      <c r="AQ13" s="142" t="s">
        <v>735</v>
      </c>
      <c r="AR13" s="143" t="s">
        <v>736</v>
      </c>
      <c r="AS13" s="118"/>
      <c r="AT13" s="144">
        <v>220</v>
      </c>
      <c r="AU13" s="144">
        <v>13668677</v>
      </c>
      <c r="AV13" s="145">
        <v>26758.39</v>
      </c>
      <c r="AW13" s="142" t="s">
        <v>735</v>
      </c>
      <c r="AX13" s="143" t="s">
        <v>736</v>
      </c>
      <c r="AY13" s="118"/>
      <c r="AZ13" s="144">
        <v>217</v>
      </c>
      <c r="BA13" s="144">
        <v>12034285</v>
      </c>
      <c r="BB13" s="145">
        <v>26202.93</v>
      </c>
      <c r="BC13" s="142" t="s">
        <v>735</v>
      </c>
      <c r="BD13" s="143" t="s">
        <v>736</v>
      </c>
      <c r="BE13" s="118"/>
      <c r="BF13" s="144">
        <v>217</v>
      </c>
      <c r="BG13" s="144">
        <v>10923272</v>
      </c>
      <c r="BH13" s="145">
        <v>25155.33</v>
      </c>
      <c r="BI13" s="142" t="s">
        <v>735</v>
      </c>
      <c r="BJ13" s="143" t="s">
        <v>736</v>
      </c>
      <c r="BK13" s="118"/>
      <c r="BL13" s="144">
        <v>220</v>
      </c>
      <c r="BM13" s="144">
        <v>10864920</v>
      </c>
      <c r="BN13" s="145">
        <v>22850.86</v>
      </c>
      <c r="BO13" s="142" t="s">
        <v>735</v>
      </c>
      <c r="BP13" s="143" t="s">
        <v>736</v>
      </c>
      <c r="BQ13" s="118"/>
      <c r="BR13" s="144">
        <v>217</v>
      </c>
      <c r="BS13" s="144">
        <v>9437100</v>
      </c>
      <c r="BT13" s="145">
        <v>23770.89</v>
      </c>
    </row>
    <row r="14" spans="1:72">
      <c r="A14" s="376" t="s">
        <v>737</v>
      </c>
      <c r="B14" s="377" t="s">
        <v>738</v>
      </c>
      <c r="C14" s="374"/>
      <c r="D14" s="385">
        <v>2</v>
      </c>
      <c r="E14" s="385">
        <v>696960</v>
      </c>
      <c r="F14" s="386">
        <v>1252.8</v>
      </c>
      <c r="G14" s="398" t="s">
        <v>737</v>
      </c>
      <c r="H14" s="399" t="s">
        <v>738</v>
      </c>
      <c r="I14" s="396"/>
      <c r="J14" s="400">
        <v>2</v>
      </c>
      <c r="K14" s="400">
        <v>781200</v>
      </c>
      <c r="L14" s="401">
        <v>1418.4</v>
      </c>
      <c r="M14" s="416" t="s">
        <v>737</v>
      </c>
      <c r="N14" s="417" t="s">
        <v>738</v>
      </c>
      <c r="O14" s="414"/>
      <c r="P14" s="418">
        <v>2</v>
      </c>
      <c r="Q14" s="418">
        <v>663120</v>
      </c>
      <c r="R14" s="419">
        <v>1396.8</v>
      </c>
      <c r="S14" s="432" t="s">
        <v>737</v>
      </c>
      <c r="T14" s="433" t="s">
        <v>738</v>
      </c>
      <c r="U14" s="430"/>
      <c r="V14" s="434">
        <v>2</v>
      </c>
      <c r="W14" s="434">
        <v>626400</v>
      </c>
      <c r="X14" s="435">
        <v>1324.8</v>
      </c>
      <c r="Y14" s="448" t="s">
        <v>737</v>
      </c>
      <c r="Z14" s="449" t="s">
        <v>738</v>
      </c>
      <c r="AA14" s="446"/>
      <c r="AB14" s="450">
        <v>2</v>
      </c>
      <c r="AC14" s="450">
        <v>478080</v>
      </c>
      <c r="AD14" s="451">
        <v>1015.2</v>
      </c>
      <c r="AE14" s="464" t="s">
        <v>737</v>
      </c>
      <c r="AF14" s="465" t="s">
        <v>738</v>
      </c>
      <c r="AG14" s="462"/>
      <c r="AH14" s="466">
        <v>2</v>
      </c>
      <c r="AI14" s="466">
        <v>345600</v>
      </c>
      <c r="AJ14" s="467">
        <v>712.8</v>
      </c>
      <c r="AK14" s="142" t="s">
        <v>737</v>
      </c>
      <c r="AL14" s="143" t="s">
        <v>738</v>
      </c>
      <c r="AM14" s="118"/>
      <c r="AN14" s="144">
        <v>2</v>
      </c>
      <c r="AO14" s="144">
        <v>295200</v>
      </c>
      <c r="AP14" s="145">
        <v>648</v>
      </c>
      <c r="AQ14" s="142" t="s">
        <v>737</v>
      </c>
      <c r="AR14" s="143" t="s">
        <v>738</v>
      </c>
      <c r="AS14" s="118"/>
      <c r="AT14" s="144">
        <v>2</v>
      </c>
      <c r="AU14" s="144">
        <v>325440</v>
      </c>
      <c r="AV14" s="145">
        <v>878.4</v>
      </c>
      <c r="AW14" s="142" t="s">
        <v>737</v>
      </c>
      <c r="AX14" s="143" t="s">
        <v>738</v>
      </c>
      <c r="AY14" s="118"/>
      <c r="AZ14" s="144">
        <v>2</v>
      </c>
      <c r="BA14" s="144">
        <v>291600</v>
      </c>
      <c r="BB14" s="145">
        <v>655.20000000000005</v>
      </c>
      <c r="BC14" s="142" t="s">
        <v>737</v>
      </c>
      <c r="BD14" s="143" t="s">
        <v>738</v>
      </c>
      <c r="BE14" s="118"/>
      <c r="BF14" s="144">
        <v>2</v>
      </c>
      <c r="BG14" s="144">
        <v>434880</v>
      </c>
      <c r="BH14" s="145">
        <v>1029.5999999999999</v>
      </c>
      <c r="BI14" s="142" t="s">
        <v>737</v>
      </c>
      <c r="BJ14" s="143" t="s">
        <v>738</v>
      </c>
      <c r="BK14" s="118"/>
      <c r="BL14" s="144">
        <v>2</v>
      </c>
      <c r="BM14" s="144">
        <v>664560</v>
      </c>
      <c r="BN14" s="145">
        <v>1015.2</v>
      </c>
      <c r="BO14" s="142" t="s">
        <v>737</v>
      </c>
      <c r="BP14" s="143" t="s">
        <v>738</v>
      </c>
      <c r="BQ14" s="118"/>
      <c r="BR14" s="144">
        <v>2</v>
      </c>
      <c r="BS14" s="144">
        <v>629280</v>
      </c>
      <c r="BT14" s="145">
        <v>1375.2</v>
      </c>
    </row>
    <row r="15" spans="1:72">
      <c r="A15" s="378" t="s">
        <v>739</v>
      </c>
      <c r="B15" s="374"/>
      <c r="C15" s="374"/>
      <c r="D15" s="385">
        <v>223</v>
      </c>
      <c r="E15" s="385">
        <v>10029289</v>
      </c>
      <c r="F15" s="386">
        <v>20978.21</v>
      </c>
      <c r="G15" s="402" t="s">
        <v>739</v>
      </c>
      <c r="H15" s="396"/>
      <c r="I15" s="396"/>
      <c r="J15" s="400">
        <v>217</v>
      </c>
      <c r="K15" s="400">
        <v>11734294</v>
      </c>
      <c r="L15" s="401">
        <v>21792.77</v>
      </c>
      <c r="M15" s="420" t="s">
        <v>739</v>
      </c>
      <c r="N15" s="414"/>
      <c r="O15" s="414"/>
      <c r="P15" s="418">
        <v>219</v>
      </c>
      <c r="Q15" s="418">
        <v>9944795</v>
      </c>
      <c r="R15" s="419">
        <v>23607.21</v>
      </c>
      <c r="S15" s="436" t="s">
        <v>739</v>
      </c>
      <c r="T15" s="430"/>
      <c r="U15" s="430"/>
      <c r="V15" s="434">
        <v>220</v>
      </c>
      <c r="W15" s="434">
        <v>10980591</v>
      </c>
      <c r="X15" s="435">
        <v>24216.62</v>
      </c>
      <c r="Y15" s="452" t="s">
        <v>739</v>
      </c>
      <c r="Z15" s="446"/>
      <c r="AA15" s="446"/>
      <c r="AB15" s="450">
        <v>220</v>
      </c>
      <c r="AC15" s="450">
        <v>10920415</v>
      </c>
      <c r="AD15" s="451">
        <v>24812.720000000001</v>
      </c>
      <c r="AE15" s="468" t="s">
        <v>739</v>
      </c>
      <c r="AF15" s="462"/>
      <c r="AG15" s="462"/>
      <c r="AH15" s="466">
        <v>221</v>
      </c>
      <c r="AI15" s="466">
        <v>11007201</v>
      </c>
      <c r="AJ15" s="467">
        <v>24897.439999999999</v>
      </c>
      <c r="AK15" s="146" t="s">
        <v>739</v>
      </c>
      <c r="AL15" s="118"/>
      <c r="AM15" s="118"/>
      <c r="AN15" s="144">
        <v>222</v>
      </c>
      <c r="AO15" s="144">
        <v>11439605</v>
      </c>
      <c r="AP15" s="145">
        <v>25304.85</v>
      </c>
      <c r="AQ15" s="146" t="s">
        <v>739</v>
      </c>
      <c r="AR15" s="118"/>
      <c r="AS15" s="118"/>
      <c r="AT15" s="144">
        <v>222</v>
      </c>
      <c r="AU15" s="144">
        <v>13994117</v>
      </c>
      <c r="AV15" s="145">
        <v>27636.79</v>
      </c>
      <c r="AW15" s="146" t="s">
        <v>739</v>
      </c>
      <c r="AX15" s="118"/>
      <c r="AY15" s="118"/>
      <c r="AZ15" s="144">
        <v>219</v>
      </c>
      <c r="BA15" s="144">
        <v>12325885</v>
      </c>
      <c r="BB15" s="145">
        <v>26858.13</v>
      </c>
      <c r="BC15" s="146" t="s">
        <v>739</v>
      </c>
      <c r="BD15" s="118"/>
      <c r="BE15" s="118"/>
      <c r="BF15" s="144">
        <v>219</v>
      </c>
      <c r="BG15" s="144">
        <v>11358152</v>
      </c>
      <c r="BH15" s="145">
        <v>26184.93</v>
      </c>
      <c r="BI15" s="146" t="s">
        <v>739</v>
      </c>
      <c r="BJ15" s="118"/>
      <c r="BK15" s="118"/>
      <c r="BL15" s="144">
        <v>222</v>
      </c>
      <c r="BM15" s="144">
        <v>11529480</v>
      </c>
      <c r="BN15" s="145">
        <v>23866.06</v>
      </c>
      <c r="BO15" s="146" t="s">
        <v>739</v>
      </c>
      <c r="BP15" s="118"/>
      <c r="BQ15" s="118"/>
      <c r="BR15" s="144">
        <v>219</v>
      </c>
      <c r="BS15" s="144">
        <v>10066380</v>
      </c>
      <c r="BT15" s="145">
        <v>25146.09</v>
      </c>
    </row>
    <row r="16" spans="1:72">
      <c r="A16" s="373"/>
      <c r="B16" s="374"/>
      <c r="C16" s="374"/>
      <c r="D16" s="374"/>
      <c r="E16" s="106">
        <f>E11+E15</f>
        <v>13093034</v>
      </c>
      <c r="F16" s="375"/>
      <c r="G16" s="395"/>
      <c r="H16" s="396"/>
      <c r="I16" s="396"/>
      <c r="J16" s="396"/>
      <c r="K16" s="106">
        <f>K11+K15</f>
        <v>16530057</v>
      </c>
      <c r="L16" s="397"/>
      <c r="M16" s="413"/>
      <c r="N16" s="414"/>
      <c r="O16" s="414"/>
      <c r="P16" s="414"/>
      <c r="Q16" s="106">
        <f>Q11+Q15</f>
        <v>13707695</v>
      </c>
      <c r="R16" s="415"/>
      <c r="S16" s="429"/>
      <c r="T16" s="430"/>
      <c r="U16" s="430"/>
      <c r="V16" s="430"/>
      <c r="W16" s="106">
        <f>W11+W15</f>
        <v>15153923</v>
      </c>
      <c r="X16" s="431"/>
      <c r="Y16" s="445"/>
      <c r="Z16" s="446"/>
      <c r="AA16" s="446"/>
      <c r="AB16" s="446"/>
      <c r="AC16" s="106">
        <f>AC11+AC15</f>
        <v>15714202</v>
      </c>
      <c r="AD16" s="447"/>
      <c r="AE16" s="461"/>
      <c r="AF16" s="462"/>
      <c r="AG16" s="462"/>
      <c r="AH16" s="462"/>
      <c r="AI16" s="106">
        <f>AI11+AI15</f>
        <v>14593477</v>
      </c>
      <c r="AJ16" s="463"/>
      <c r="AK16" s="122"/>
      <c r="AL16" s="118"/>
      <c r="AM16" s="118"/>
      <c r="AN16" s="118"/>
      <c r="AO16" s="106">
        <f>AO11+AO15</f>
        <v>15785029</v>
      </c>
      <c r="AP16" s="123"/>
      <c r="AQ16" s="122"/>
      <c r="AR16" s="118"/>
      <c r="AS16" s="118"/>
      <c r="AT16" s="118"/>
      <c r="AU16" s="106">
        <f>AU11+AU15</f>
        <v>19065735</v>
      </c>
      <c r="AV16" s="123"/>
      <c r="AW16" s="122"/>
      <c r="AX16" s="118"/>
      <c r="AY16" s="118"/>
      <c r="AZ16" s="118"/>
      <c r="BA16" s="106">
        <f>BA11+BA15</f>
        <v>18191143</v>
      </c>
      <c r="BB16" s="123"/>
      <c r="BC16" s="122"/>
      <c r="BD16" s="118"/>
      <c r="BE16" s="118"/>
      <c r="BF16" s="118"/>
      <c r="BG16" s="106">
        <f>BG11+BG15</f>
        <v>16704664</v>
      </c>
      <c r="BH16" s="123"/>
      <c r="BI16" s="122"/>
      <c r="BJ16" s="118"/>
      <c r="BK16" s="118"/>
      <c r="BL16" s="118"/>
      <c r="BM16" s="106">
        <f>BM11+BM15</f>
        <v>17245189</v>
      </c>
      <c r="BN16" s="123"/>
      <c r="BO16" s="122"/>
      <c r="BP16" s="118"/>
      <c r="BQ16" s="118"/>
      <c r="BR16" s="118"/>
      <c r="BS16" s="106">
        <f>BS11+BS15</f>
        <v>14494904</v>
      </c>
      <c r="BT16" s="123"/>
    </row>
    <row r="17" spans="1:72">
      <c r="A17" s="376" t="s">
        <v>740</v>
      </c>
      <c r="B17" s="377" t="s">
        <v>741</v>
      </c>
      <c r="C17" s="374"/>
      <c r="D17" s="385">
        <v>4</v>
      </c>
      <c r="E17" s="385">
        <v>89752</v>
      </c>
      <c r="F17" s="386">
        <v>237.84</v>
      </c>
      <c r="G17" s="398" t="s">
        <v>740</v>
      </c>
      <c r="H17" s="399" t="s">
        <v>741</v>
      </c>
      <c r="I17" s="396"/>
      <c r="J17" s="400">
        <v>4</v>
      </c>
      <c r="K17" s="400">
        <v>117712</v>
      </c>
      <c r="L17" s="401">
        <v>339.44</v>
      </c>
      <c r="M17" s="416" t="s">
        <v>740</v>
      </c>
      <c r="N17" s="417" t="s">
        <v>741</v>
      </c>
      <c r="O17" s="414"/>
      <c r="P17" s="418">
        <v>4</v>
      </c>
      <c r="Q17" s="418">
        <v>95184</v>
      </c>
      <c r="R17" s="419">
        <v>301.12</v>
      </c>
      <c r="S17" s="432" t="s">
        <v>740</v>
      </c>
      <c r="T17" s="433" t="s">
        <v>741</v>
      </c>
      <c r="U17" s="430"/>
      <c r="V17" s="434">
        <v>4</v>
      </c>
      <c r="W17" s="434">
        <v>98800</v>
      </c>
      <c r="X17" s="435">
        <v>319.83999999999997</v>
      </c>
      <c r="Y17" s="448" t="s">
        <v>740</v>
      </c>
      <c r="Z17" s="449" t="s">
        <v>741</v>
      </c>
      <c r="AA17" s="446"/>
      <c r="AB17" s="450">
        <v>4</v>
      </c>
      <c r="AC17" s="450">
        <v>104184</v>
      </c>
      <c r="AD17" s="451">
        <v>292</v>
      </c>
      <c r="AE17" s="464" t="s">
        <v>740</v>
      </c>
      <c r="AF17" s="465" t="s">
        <v>741</v>
      </c>
      <c r="AG17" s="462"/>
      <c r="AH17" s="466">
        <v>4</v>
      </c>
      <c r="AI17" s="466">
        <v>90632</v>
      </c>
      <c r="AJ17" s="467">
        <v>246.16</v>
      </c>
      <c r="AK17" s="142" t="s">
        <v>740</v>
      </c>
      <c r="AL17" s="143" t="s">
        <v>741</v>
      </c>
      <c r="AM17" s="118"/>
      <c r="AN17" s="144">
        <v>4</v>
      </c>
      <c r="AO17" s="144">
        <v>90112</v>
      </c>
      <c r="AP17" s="145">
        <v>251.2</v>
      </c>
      <c r="AQ17" s="142" t="s">
        <v>740</v>
      </c>
      <c r="AR17" s="143" t="s">
        <v>741</v>
      </c>
      <c r="AS17" s="118"/>
      <c r="AT17" s="144">
        <v>4</v>
      </c>
      <c r="AU17" s="144">
        <v>105008</v>
      </c>
      <c r="AV17" s="145">
        <v>218.72</v>
      </c>
      <c r="AW17" s="142" t="s">
        <v>740</v>
      </c>
      <c r="AX17" s="143" t="s">
        <v>741</v>
      </c>
      <c r="AY17" s="118"/>
      <c r="AZ17" s="144">
        <v>4</v>
      </c>
      <c r="BA17" s="144">
        <v>106440</v>
      </c>
      <c r="BB17" s="145">
        <v>317.76</v>
      </c>
      <c r="BC17" s="142" t="s">
        <v>740</v>
      </c>
      <c r="BD17" s="143" t="s">
        <v>741</v>
      </c>
      <c r="BE17" s="118"/>
      <c r="BF17" s="144">
        <v>4</v>
      </c>
      <c r="BG17" s="144">
        <v>102472</v>
      </c>
      <c r="BH17" s="145">
        <v>309.92</v>
      </c>
      <c r="BI17" s="142" t="s">
        <v>740</v>
      </c>
      <c r="BJ17" s="143" t="s">
        <v>741</v>
      </c>
      <c r="BK17" s="118"/>
      <c r="BL17" s="144">
        <v>4</v>
      </c>
      <c r="BM17" s="144">
        <v>116152</v>
      </c>
      <c r="BN17" s="145">
        <v>335.84</v>
      </c>
      <c r="BO17" s="142" t="s">
        <v>740</v>
      </c>
      <c r="BP17" s="143" t="s">
        <v>741</v>
      </c>
      <c r="BQ17" s="118"/>
      <c r="BR17" s="144">
        <v>4</v>
      </c>
      <c r="BS17" s="144">
        <v>95096</v>
      </c>
      <c r="BT17" s="145">
        <v>316.95999999999998</v>
      </c>
    </row>
    <row r="18" spans="1:72">
      <c r="A18" s="376" t="s">
        <v>742</v>
      </c>
      <c r="B18" s="377" t="s">
        <v>743</v>
      </c>
      <c r="C18" s="374"/>
      <c r="D18" s="385">
        <v>1</v>
      </c>
      <c r="E18" s="385">
        <v>236448</v>
      </c>
      <c r="F18" s="386">
        <v>362.88</v>
      </c>
      <c r="G18" s="398" t="s">
        <v>742</v>
      </c>
      <c r="H18" s="399" t="s">
        <v>743</v>
      </c>
      <c r="I18" s="396"/>
      <c r="J18" s="400">
        <v>1</v>
      </c>
      <c r="K18" s="400">
        <v>245088</v>
      </c>
      <c r="L18" s="401">
        <v>368.64</v>
      </c>
      <c r="M18" s="416" t="s">
        <v>742</v>
      </c>
      <c r="N18" s="417" t="s">
        <v>743</v>
      </c>
      <c r="O18" s="414"/>
      <c r="P18" s="418">
        <v>1</v>
      </c>
      <c r="Q18" s="418">
        <v>203328</v>
      </c>
      <c r="R18" s="419">
        <v>403.2</v>
      </c>
      <c r="S18" s="432" t="s">
        <v>742</v>
      </c>
      <c r="T18" s="433" t="s">
        <v>743</v>
      </c>
      <c r="U18" s="430"/>
      <c r="V18" s="434">
        <v>1</v>
      </c>
      <c r="W18" s="434">
        <v>228960</v>
      </c>
      <c r="X18" s="435">
        <v>408.96</v>
      </c>
      <c r="Y18" s="448" t="s">
        <v>742</v>
      </c>
      <c r="Z18" s="449" t="s">
        <v>743</v>
      </c>
      <c r="AA18" s="446"/>
      <c r="AB18" s="450">
        <v>1</v>
      </c>
      <c r="AC18" s="450">
        <v>208800</v>
      </c>
      <c r="AD18" s="451">
        <v>406.08</v>
      </c>
      <c r="AE18" s="464" t="s">
        <v>742</v>
      </c>
      <c r="AF18" s="465" t="s">
        <v>743</v>
      </c>
      <c r="AG18" s="462"/>
      <c r="AH18" s="466">
        <v>1</v>
      </c>
      <c r="AI18" s="466">
        <v>265536</v>
      </c>
      <c r="AJ18" s="467">
        <v>446.4</v>
      </c>
      <c r="AK18" s="142" t="s">
        <v>742</v>
      </c>
      <c r="AL18" s="143" t="s">
        <v>743</v>
      </c>
      <c r="AM18" s="118"/>
      <c r="AN18" s="144">
        <v>1</v>
      </c>
      <c r="AO18" s="144">
        <v>257184</v>
      </c>
      <c r="AP18" s="145">
        <v>504</v>
      </c>
      <c r="AQ18" s="142" t="s">
        <v>742</v>
      </c>
      <c r="AR18" s="143" t="s">
        <v>743</v>
      </c>
      <c r="AS18" s="118"/>
      <c r="AT18" s="144">
        <v>1</v>
      </c>
      <c r="AU18" s="144">
        <v>294912</v>
      </c>
      <c r="AV18" s="145">
        <v>518.4</v>
      </c>
      <c r="AW18" s="142" t="s">
        <v>742</v>
      </c>
      <c r="AX18" s="143" t="s">
        <v>743</v>
      </c>
      <c r="AY18" s="118"/>
      <c r="AZ18" s="144">
        <v>1</v>
      </c>
      <c r="BA18" s="144">
        <v>294048</v>
      </c>
      <c r="BB18" s="145">
        <v>498.24</v>
      </c>
      <c r="BC18" s="142" t="s">
        <v>742</v>
      </c>
      <c r="BD18" s="143" t="s">
        <v>743</v>
      </c>
      <c r="BE18" s="118"/>
      <c r="BF18" s="144">
        <v>1</v>
      </c>
      <c r="BG18" s="144">
        <v>253152</v>
      </c>
      <c r="BH18" s="145">
        <v>457.92</v>
      </c>
      <c r="BI18" s="142" t="s">
        <v>742</v>
      </c>
      <c r="BJ18" s="143" t="s">
        <v>743</v>
      </c>
      <c r="BK18" s="118"/>
      <c r="BL18" s="144">
        <v>1</v>
      </c>
      <c r="BM18" s="144">
        <v>220608</v>
      </c>
      <c r="BN18" s="145">
        <v>408.96</v>
      </c>
      <c r="BO18" s="142" t="s">
        <v>742</v>
      </c>
      <c r="BP18" s="143" t="s">
        <v>743</v>
      </c>
      <c r="BQ18" s="118"/>
      <c r="BR18" s="144">
        <v>1</v>
      </c>
      <c r="BS18" s="144">
        <v>244800</v>
      </c>
      <c r="BT18" s="145">
        <v>411.84</v>
      </c>
    </row>
    <row r="19" spans="1:72">
      <c r="A19" s="376" t="s">
        <v>744</v>
      </c>
      <c r="B19" s="377" t="s">
        <v>745</v>
      </c>
      <c r="C19" s="374"/>
      <c r="D19" s="385">
        <v>122</v>
      </c>
      <c r="E19" s="385">
        <v>2325932</v>
      </c>
      <c r="F19" s="386">
        <v>6501.51</v>
      </c>
      <c r="G19" s="398" t="s">
        <v>744</v>
      </c>
      <c r="H19" s="399" t="s">
        <v>745</v>
      </c>
      <c r="I19" s="396"/>
      <c r="J19" s="400">
        <v>123</v>
      </c>
      <c r="K19" s="400">
        <v>2519679</v>
      </c>
      <c r="L19" s="401">
        <v>6465.71</v>
      </c>
      <c r="M19" s="416" t="s">
        <v>744</v>
      </c>
      <c r="N19" s="417" t="s">
        <v>745</v>
      </c>
      <c r="O19" s="414"/>
      <c r="P19" s="418">
        <v>123</v>
      </c>
      <c r="Q19" s="418">
        <v>2001401</v>
      </c>
      <c r="R19" s="419">
        <v>6493.82</v>
      </c>
      <c r="S19" s="432" t="s">
        <v>744</v>
      </c>
      <c r="T19" s="433" t="s">
        <v>745</v>
      </c>
      <c r="U19" s="430"/>
      <c r="V19" s="434">
        <v>123</v>
      </c>
      <c r="W19" s="434">
        <v>2084902</v>
      </c>
      <c r="X19" s="435">
        <v>6378.11</v>
      </c>
      <c r="Y19" s="448" t="s">
        <v>744</v>
      </c>
      <c r="Z19" s="449" t="s">
        <v>745</v>
      </c>
      <c r="AA19" s="446"/>
      <c r="AB19" s="450">
        <v>123</v>
      </c>
      <c r="AC19" s="450">
        <v>2035417</v>
      </c>
      <c r="AD19" s="451">
        <v>6237.32</v>
      </c>
      <c r="AE19" s="464" t="s">
        <v>744</v>
      </c>
      <c r="AF19" s="465" t="s">
        <v>745</v>
      </c>
      <c r="AG19" s="462"/>
      <c r="AH19" s="466">
        <v>122</v>
      </c>
      <c r="AI19" s="466">
        <v>2324123</v>
      </c>
      <c r="AJ19" s="467">
        <v>6344.11</v>
      </c>
      <c r="AK19" s="142" t="s">
        <v>744</v>
      </c>
      <c r="AL19" s="143" t="s">
        <v>745</v>
      </c>
      <c r="AM19" s="118"/>
      <c r="AN19" s="144">
        <v>122</v>
      </c>
      <c r="AO19" s="144">
        <v>2365731</v>
      </c>
      <c r="AP19" s="145">
        <v>6704.21</v>
      </c>
      <c r="AQ19" s="142" t="s">
        <v>744</v>
      </c>
      <c r="AR19" s="143" t="s">
        <v>745</v>
      </c>
      <c r="AS19" s="118"/>
      <c r="AT19" s="144">
        <v>120</v>
      </c>
      <c r="AU19" s="144">
        <v>2747034</v>
      </c>
      <c r="AV19" s="145">
        <v>7029.84</v>
      </c>
      <c r="AW19" s="142" t="s">
        <v>744</v>
      </c>
      <c r="AX19" s="143" t="s">
        <v>745</v>
      </c>
      <c r="AY19" s="118"/>
      <c r="AZ19" s="144">
        <v>121</v>
      </c>
      <c r="BA19" s="144">
        <v>2696990</v>
      </c>
      <c r="BB19" s="145">
        <v>6924.92</v>
      </c>
      <c r="BC19" s="142" t="s">
        <v>744</v>
      </c>
      <c r="BD19" s="143" t="s">
        <v>745</v>
      </c>
      <c r="BE19" s="118"/>
      <c r="BF19" s="144">
        <v>120</v>
      </c>
      <c r="BG19" s="144">
        <v>2278585</v>
      </c>
      <c r="BH19" s="145">
        <v>6513.71</v>
      </c>
      <c r="BI19" s="142" t="s">
        <v>744</v>
      </c>
      <c r="BJ19" s="143" t="s">
        <v>745</v>
      </c>
      <c r="BK19" s="118"/>
      <c r="BL19" s="144">
        <v>120</v>
      </c>
      <c r="BM19" s="144">
        <v>2208369</v>
      </c>
      <c r="BN19" s="145">
        <v>6374.41</v>
      </c>
      <c r="BO19" s="142" t="s">
        <v>744</v>
      </c>
      <c r="BP19" s="143" t="s">
        <v>745</v>
      </c>
      <c r="BQ19" s="118"/>
      <c r="BR19" s="144">
        <v>125</v>
      </c>
      <c r="BS19" s="144">
        <v>2211127</v>
      </c>
      <c r="BT19" s="145">
        <v>6692.35</v>
      </c>
    </row>
    <row r="20" spans="1:72">
      <c r="A20" s="376" t="s">
        <v>746</v>
      </c>
      <c r="B20" s="377" t="s">
        <v>747</v>
      </c>
      <c r="C20" s="374"/>
      <c r="D20" s="385">
        <v>11</v>
      </c>
      <c r="E20" s="385">
        <v>883872</v>
      </c>
      <c r="F20" s="386">
        <v>2005.24</v>
      </c>
      <c r="G20" s="398" t="s">
        <v>746</v>
      </c>
      <c r="H20" s="399" t="s">
        <v>747</v>
      </c>
      <c r="I20" s="396"/>
      <c r="J20" s="400">
        <v>11</v>
      </c>
      <c r="K20" s="400">
        <v>977760</v>
      </c>
      <c r="L20" s="401">
        <v>1938.62</v>
      </c>
      <c r="M20" s="416" t="s">
        <v>746</v>
      </c>
      <c r="N20" s="417" t="s">
        <v>747</v>
      </c>
      <c r="O20" s="414"/>
      <c r="P20" s="418">
        <v>11</v>
      </c>
      <c r="Q20" s="418">
        <v>760896</v>
      </c>
      <c r="R20" s="419">
        <v>1975</v>
      </c>
      <c r="S20" s="432" t="s">
        <v>746</v>
      </c>
      <c r="T20" s="433" t="s">
        <v>747</v>
      </c>
      <c r="U20" s="430"/>
      <c r="V20" s="434">
        <v>11</v>
      </c>
      <c r="W20" s="434">
        <v>922080</v>
      </c>
      <c r="X20" s="435">
        <v>1881.7</v>
      </c>
      <c r="Y20" s="448" t="s">
        <v>746</v>
      </c>
      <c r="Z20" s="449" t="s">
        <v>747</v>
      </c>
      <c r="AA20" s="446"/>
      <c r="AB20" s="450">
        <v>11</v>
      </c>
      <c r="AC20" s="450">
        <v>653184</v>
      </c>
      <c r="AD20" s="451">
        <v>1792.5</v>
      </c>
      <c r="AE20" s="464" t="s">
        <v>746</v>
      </c>
      <c r="AF20" s="465" t="s">
        <v>747</v>
      </c>
      <c r="AG20" s="462"/>
      <c r="AH20" s="466">
        <v>11</v>
      </c>
      <c r="AI20" s="466">
        <v>807744</v>
      </c>
      <c r="AJ20" s="467">
        <v>2000.74</v>
      </c>
      <c r="AK20" s="142" t="s">
        <v>746</v>
      </c>
      <c r="AL20" s="143" t="s">
        <v>747</v>
      </c>
      <c r="AM20" s="118"/>
      <c r="AN20" s="144">
        <v>11</v>
      </c>
      <c r="AO20" s="144">
        <v>842112</v>
      </c>
      <c r="AP20" s="145">
        <v>2128.04</v>
      </c>
      <c r="AQ20" s="142" t="s">
        <v>746</v>
      </c>
      <c r="AR20" s="143" t="s">
        <v>747</v>
      </c>
      <c r="AS20" s="118"/>
      <c r="AT20" s="144">
        <v>11</v>
      </c>
      <c r="AU20" s="144">
        <v>982272</v>
      </c>
      <c r="AV20" s="145">
        <v>2172.67</v>
      </c>
      <c r="AW20" s="142" t="s">
        <v>746</v>
      </c>
      <c r="AX20" s="143" t="s">
        <v>747</v>
      </c>
      <c r="AY20" s="118"/>
      <c r="AZ20" s="144">
        <v>11</v>
      </c>
      <c r="BA20" s="144">
        <v>831552</v>
      </c>
      <c r="BB20" s="145">
        <v>2047.77</v>
      </c>
      <c r="BC20" s="142" t="s">
        <v>746</v>
      </c>
      <c r="BD20" s="143" t="s">
        <v>747</v>
      </c>
      <c r="BE20" s="118"/>
      <c r="BF20" s="144">
        <v>11</v>
      </c>
      <c r="BG20" s="144">
        <v>811584</v>
      </c>
      <c r="BH20" s="145">
        <v>1906.37</v>
      </c>
      <c r="BI20" s="142" t="s">
        <v>746</v>
      </c>
      <c r="BJ20" s="143" t="s">
        <v>747</v>
      </c>
      <c r="BK20" s="118"/>
      <c r="BL20" s="144">
        <v>11</v>
      </c>
      <c r="BM20" s="144">
        <v>767136</v>
      </c>
      <c r="BN20" s="145">
        <v>1845.12</v>
      </c>
      <c r="BO20" s="142" t="s">
        <v>746</v>
      </c>
      <c r="BP20" s="143" t="s">
        <v>747</v>
      </c>
      <c r="BQ20" s="118"/>
      <c r="BR20" s="144">
        <v>11</v>
      </c>
      <c r="BS20" s="144">
        <v>768864</v>
      </c>
      <c r="BT20" s="145">
        <v>2053.44</v>
      </c>
    </row>
    <row r="21" spans="1:72">
      <c r="A21" s="376" t="s">
        <v>748</v>
      </c>
      <c r="B21" s="377" t="s">
        <v>749</v>
      </c>
      <c r="C21" s="374"/>
      <c r="D21" s="385">
        <v>557</v>
      </c>
      <c r="E21" s="385">
        <v>1761001.8</v>
      </c>
      <c r="F21" s="386">
        <v>4984.55</v>
      </c>
      <c r="G21" s="398" t="s">
        <v>748</v>
      </c>
      <c r="H21" s="399" t="s">
        <v>749</v>
      </c>
      <c r="I21" s="396"/>
      <c r="J21" s="400">
        <v>555</v>
      </c>
      <c r="K21" s="400">
        <v>1463773</v>
      </c>
      <c r="L21" s="401">
        <v>3753.89</v>
      </c>
      <c r="M21" s="416" t="s">
        <v>748</v>
      </c>
      <c r="N21" s="417" t="s">
        <v>749</v>
      </c>
      <c r="O21" s="414"/>
      <c r="P21" s="418">
        <v>556</v>
      </c>
      <c r="Q21" s="418">
        <v>1287409</v>
      </c>
      <c r="R21" s="419">
        <v>4623.32</v>
      </c>
      <c r="S21" s="432" t="s">
        <v>748</v>
      </c>
      <c r="T21" s="433" t="s">
        <v>749</v>
      </c>
      <c r="U21" s="430"/>
      <c r="V21" s="434">
        <v>554</v>
      </c>
      <c r="W21" s="434">
        <v>1072490</v>
      </c>
      <c r="X21" s="435">
        <v>3655.63</v>
      </c>
      <c r="Y21" s="448" t="s">
        <v>748</v>
      </c>
      <c r="Z21" s="449" t="s">
        <v>749</v>
      </c>
      <c r="AA21" s="446"/>
      <c r="AB21" s="450">
        <v>564</v>
      </c>
      <c r="AC21" s="450">
        <v>1059409</v>
      </c>
      <c r="AD21" s="451">
        <v>3476</v>
      </c>
      <c r="AE21" s="464" t="s">
        <v>748</v>
      </c>
      <c r="AF21" s="465" t="s">
        <v>749</v>
      </c>
      <c r="AG21" s="462"/>
      <c r="AH21" s="466">
        <v>565</v>
      </c>
      <c r="AI21" s="466">
        <v>1078300</v>
      </c>
      <c r="AJ21" s="467">
        <v>3117.53</v>
      </c>
      <c r="AK21" s="142" t="s">
        <v>748</v>
      </c>
      <c r="AL21" s="143" t="s">
        <v>749</v>
      </c>
      <c r="AM21" s="118"/>
      <c r="AN21" s="144">
        <v>567</v>
      </c>
      <c r="AO21" s="144">
        <v>796495</v>
      </c>
      <c r="AP21" s="145">
        <v>2287.1799999999998</v>
      </c>
      <c r="AQ21" s="142" t="s">
        <v>748</v>
      </c>
      <c r="AR21" s="143" t="s">
        <v>749</v>
      </c>
      <c r="AS21" s="118"/>
      <c r="AT21" s="144">
        <v>566</v>
      </c>
      <c r="AU21" s="144">
        <v>933677</v>
      </c>
      <c r="AV21" s="145">
        <v>2355.1</v>
      </c>
      <c r="AW21" s="142" t="s">
        <v>748</v>
      </c>
      <c r="AX21" s="143" t="s">
        <v>749</v>
      </c>
      <c r="AY21" s="118"/>
      <c r="AZ21" s="144">
        <v>564</v>
      </c>
      <c r="BA21" s="144">
        <v>933745</v>
      </c>
      <c r="BB21" s="145">
        <v>2212.54</v>
      </c>
      <c r="BC21" s="142" t="s">
        <v>748</v>
      </c>
      <c r="BD21" s="143" t="s">
        <v>749</v>
      </c>
      <c r="BE21" s="118"/>
      <c r="BF21" s="144">
        <v>561</v>
      </c>
      <c r="BG21" s="144">
        <v>767959</v>
      </c>
      <c r="BH21" s="145">
        <v>2380.31</v>
      </c>
      <c r="BI21" s="142" t="s">
        <v>748</v>
      </c>
      <c r="BJ21" s="143" t="s">
        <v>749</v>
      </c>
      <c r="BK21" s="118"/>
      <c r="BL21" s="144">
        <v>557</v>
      </c>
      <c r="BM21" s="144">
        <v>838504</v>
      </c>
      <c r="BN21" s="145">
        <v>2446.08</v>
      </c>
      <c r="BO21" s="142" t="s">
        <v>748</v>
      </c>
      <c r="BP21" s="143" t="s">
        <v>749</v>
      </c>
      <c r="BQ21" s="118"/>
      <c r="BR21" s="144">
        <v>560</v>
      </c>
      <c r="BS21" s="144">
        <v>878556</v>
      </c>
      <c r="BT21" s="145">
        <v>2571.87</v>
      </c>
    </row>
    <row r="22" spans="1:72">
      <c r="A22" s="376" t="s">
        <v>750</v>
      </c>
      <c r="B22" s="377" t="s">
        <v>751</v>
      </c>
      <c r="C22" s="374"/>
      <c r="D22" s="385">
        <v>54</v>
      </c>
      <c r="E22" s="385">
        <v>10348</v>
      </c>
      <c r="F22" s="386">
        <v>0</v>
      </c>
      <c r="G22" s="398" t="s">
        <v>750</v>
      </c>
      <c r="H22" s="399" t="s">
        <v>751</v>
      </c>
      <c r="I22" s="396"/>
      <c r="J22" s="400">
        <v>53</v>
      </c>
      <c r="K22" s="400">
        <v>10335</v>
      </c>
      <c r="L22" s="401">
        <v>0</v>
      </c>
      <c r="M22" s="416" t="s">
        <v>750</v>
      </c>
      <c r="N22" s="417" t="s">
        <v>751</v>
      </c>
      <c r="O22" s="414"/>
      <c r="P22" s="418">
        <v>53</v>
      </c>
      <c r="Q22" s="418">
        <v>10335</v>
      </c>
      <c r="R22" s="419">
        <v>0</v>
      </c>
      <c r="S22" s="432" t="s">
        <v>750</v>
      </c>
      <c r="T22" s="433" t="s">
        <v>751</v>
      </c>
      <c r="U22" s="430"/>
      <c r="V22" s="434">
        <v>53</v>
      </c>
      <c r="W22" s="434">
        <v>10335</v>
      </c>
      <c r="X22" s="435">
        <v>0</v>
      </c>
      <c r="Y22" s="448" t="s">
        <v>750</v>
      </c>
      <c r="Z22" s="449" t="s">
        <v>751</v>
      </c>
      <c r="AA22" s="446"/>
      <c r="AB22" s="450">
        <v>53</v>
      </c>
      <c r="AC22" s="450">
        <v>10335</v>
      </c>
      <c r="AD22" s="451">
        <v>0</v>
      </c>
      <c r="AE22" s="464" t="s">
        <v>750</v>
      </c>
      <c r="AF22" s="465" t="s">
        <v>751</v>
      </c>
      <c r="AG22" s="462"/>
      <c r="AH22" s="466">
        <v>53</v>
      </c>
      <c r="AI22" s="466">
        <v>10335</v>
      </c>
      <c r="AJ22" s="467">
        <v>0</v>
      </c>
      <c r="AK22" s="142" t="s">
        <v>750</v>
      </c>
      <c r="AL22" s="143" t="s">
        <v>751</v>
      </c>
      <c r="AM22" s="118"/>
      <c r="AN22" s="144">
        <v>53</v>
      </c>
      <c r="AO22" s="144">
        <v>10335</v>
      </c>
      <c r="AP22" s="145">
        <v>0</v>
      </c>
      <c r="AQ22" s="142" t="s">
        <v>750</v>
      </c>
      <c r="AR22" s="143" t="s">
        <v>751</v>
      </c>
      <c r="AS22" s="118"/>
      <c r="AT22" s="144">
        <v>53</v>
      </c>
      <c r="AU22" s="144">
        <v>10335</v>
      </c>
      <c r="AV22" s="145">
        <v>0</v>
      </c>
      <c r="AW22" s="142" t="s">
        <v>750</v>
      </c>
      <c r="AX22" s="143" t="s">
        <v>751</v>
      </c>
      <c r="AY22" s="118"/>
      <c r="AZ22" s="144">
        <v>53</v>
      </c>
      <c r="BA22" s="144">
        <v>10335</v>
      </c>
      <c r="BB22" s="145">
        <v>0</v>
      </c>
      <c r="BC22" s="142" t="s">
        <v>750</v>
      </c>
      <c r="BD22" s="143" t="s">
        <v>751</v>
      </c>
      <c r="BE22" s="118"/>
      <c r="BF22" s="144">
        <v>53</v>
      </c>
      <c r="BG22" s="144">
        <v>10336</v>
      </c>
      <c r="BH22" s="145">
        <v>0</v>
      </c>
      <c r="BI22" s="142" t="s">
        <v>750</v>
      </c>
      <c r="BJ22" s="143" t="s">
        <v>751</v>
      </c>
      <c r="BK22" s="118"/>
      <c r="BL22" s="144">
        <v>53</v>
      </c>
      <c r="BM22" s="144">
        <v>10335</v>
      </c>
      <c r="BN22" s="145">
        <v>0</v>
      </c>
      <c r="BO22" s="142" t="s">
        <v>750</v>
      </c>
      <c r="BP22" s="143" t="s">
        <v>751</v>
      </c>
      <c r="BQ22" s="118"/>
      <c r="BR22" s="144">
        <v>53</v>
      </c>
      <c r="BS22" s="144">
        <v>10335</v>
      </c>
      <c r="BT22" s="145">
        <v>0</v>
      </c>
    </row>
    <row r="23" spans="1:72">
      <c r="A23" s="376" t="s">
        <v>752</v>
      </c>
      <c r="B23" s="377" t="s">
        <v>753</v>
      </c>
      <c r="C23" s="374"/>
      <c r="D23" s="385">
        <v>2</v>
      </c>
      <c r="E23" s="385">
        <v>973870</v>
      </c>
      <c r="F23" s="386">
        <v>1735.68</v>
      </c>
      <c r="G23" s="398" t="s">
        <v>752</v>
      </c>
      <c r="H23" s="399" t="s">
        <v>753</v>
      </c>
      <c r="I23" s="396"/>
      <c r="J23" s="400">
        <v>2</v>
      </c>
      <c r="K23" s="400">
        <v>998470</v>
      </c>
      <c r="L23" s="401">
        <v>1680.24</v>
      </c>
      <c r="M23" s="416" t="s">
        <v>752</v>
      </c>
      <c r="N23" s="417" t="s">
        <v>753</v>
      </c>
      <c r="O23" s="414"/>
      <c r="P23" s="418">
        <v>2</v>
      </c>
      <c r="Q23" s="418">
        <v>829270</v>
      </c>
      <c r="R23" s="419">
        <v>1669.32</v>
      </c>
      <c r="S23" s="432" t="s">
        <v>752</v>
      </c>
      <c r="T23" s="433" t="s">
        <v>753</v>
      </c>
      <c r="U23" s="430"/>
      <c r="V23" s="434">
        <v>2</v>
      </c>
      <c r="W23" s="434">
        <v>889990</v>
      </c>
      <c r="X23" s="435">
        <v>1704.6</v>
      </c>
      <c r="Y23" s="448" t="s">
        <v>752</v>
      </c>
      <c r="Z23" s="449" t="s">
        <v>753</v>
      </c>
      <c r="AA23" s="446"/>
      <c r="AB23" s="450">
        <v>2</v>
      </c>
      <c r="AC23" s="450">
        <v>856270</v>
      </c>
      <c r="AD23" s="451">
        <v>1669.2</v>
      </c>
      <c r="AE23" s="464" t="s">
        <v>752</v>
      </c>
      <c r="AF23" s="465" t="s">
        <v>753</v>
      </c>
      <c r="AG23" s="462"/>
      <c r="AH23" s="466">
        <v>2</v>
      </c>
      <c r="AI23" s="466">
        <v>1001470</v>
      </c>
      <c r="AJ23" s="467">
        <v>1881.48</v>
      </c>
      <c r="AK23" s="142" t="s">
        <v>752</v>
      </c>
      <c r="AL23" s="143" t="s">
        <v>753</v>
      </c>
      <c r="AM23" s="118"/>
      <c r="AN23" s="144">
        <v>2</v>
      </c>
      <c r="AO23" s="144">
        <v>991510</v>
      </c>
      <c r="AP23" s="145">
        <v>1779.36</v>
      </c>
      <c r="AQ23" s="142" t="s">
        <v>752</v>
      </c>
      <c r="AR23" s="143" t="s">
        <v>753</v>
      </c>
      <c r="AS23" s="118"/>
      <c r="AT23" s="144">
        <v>2</v>
      </c>
      <c r="AU23" s="144">
        <v>1036750</v>
      </c>
      <c r="AV23" s="145">
        <v>1938.72</v>
      </c>
      <c r="AW23" s="142" t="s">
        <v>752</v>
      </c>
      <c r="AX23" s="143" t="s">
        <v>753</v>
      </c>
      <c r="AY23" s="118"/>
      <c r="AZ23" s="144">
        <v>2</v>
      </c>
      <c r="BA23" s="144">
        <v>1030270</v>
      </c>
      <c r="BB23" s="145">
        <v>1882.92</v>
      </c>
      <c r="BC23" s="142" t="s">
        <v>752</v>
      </c>
      <c r="BD23" s="143" t="s">
        <v>753</v>
      </c>
      <c r="BE23" s="118"/>
      <c r="BF23" s="144">
        <v>2</v>
      </c>
      <c r="BG23" s="144">
        <v>920229</v>
      </c>
      <c r="BH23" s="145">
        <v>1712.4</v>
      </c>
      <c r="BI23" s="142" t="s">
        <v>752</v>
      </c>
      <c r="BJ23" s="143" t="s">
        <v>753</v>
      </c>
      <c r="BK23" s="118"/>
      <c r="BL23" s="144">
        <v>2</v>
      </c>
      <c r="BM23" s="144">
        <v>902590</v>
      </c>
      <c r="BN23" s="145">
        <v>1753.92</v>
      </c>
      <c r="BO23" s="142" t="s">
        <v>752</v>
      </c>
      <c r="BP23" s="143" t="s">
        <v>753</v>
      </c>
      <c r="BQ23" s="118"/>
      <c r="BR23" s="144">
        <v>2</v>
      </c>
      <c r="BS23" s="144">
        <v>923110</v>
      </c>
      <c r="BT23" s="145">
        <v>1715.76</v>
      </c>
    </row>
    <row r="24" spans="1:72">
      <c r="A24" s="376" t="s">
        <v>754</v>
      </c>
      <c r="B24" s="377" t="s">
        <v>755</v>
      </c>
      <c r="C24" s="374"/>
      <c r="D24" s="385">
        <v>47</v>
      </c>
      <c r="E24" s="385">
        <v>238649</v>
      </c>
      <c r="F24" s="386">
        <v>458.59</v>
      </c>
      <c r="G24" s="398" t="s">
        <v>754</v>
      </c>
      <c r="H24" s="399" t="s">
        <v>755</v>
      </c>
      <c r="I24" s="396"/>
      <c r="J24" s="400">
        <v>47</v>
      </c>
      <c r="K24" s="400">
        <v>269465</v>
      </c>
      <c r="L24" s="401">
        <v>477.33</v>
      </c>
      <c r="M24" s="416" t="s">
        <v>754</v>
      </c>
      <c r="N24" s="417" t="s">
        <v>755</v>
      </c>
      <c r="O24" s="414"/>
      <c r="P24" s="418">
        <v>47</v>
      </c>
      <c r="Q24" s="418">
        <v>206911</v>
      </c>
      <c r="R24" s="419">
        <v>1291.04</v>
      </c>
      <c r="S24" s="432" t="s">
        <v>754</v>
      </c>
      <c r="T24" s="433" t="s">
        <v>755</v>
      </c>
      <c r="U24" s="430"/>
      <c r="V24" s="434">
        <v>47</v>
      </c>
      <c r="W24" s="434">
        <v>206474</v>
      </c>
      <c r="X24" s="435">
        <v>477.23</v>
      </c>
      <c r="Y24" s="448" t="s">
        <v>754</v>
      </c>
      <c r="Z24" s="449" t="s">
        <v>755</v>
      </c>
      <c r="AA24" s="446"/>
      <c r="AB24" s="450">
        <v>47</v>
      </c>
      <c r="AC24" s="450">
        <v>205447</v>
      </c>
      <c r="AD24" s="451">
        <v>470.84</v>
      </c>
      <c r="AE24" s="464" t="s">
        <v>754</v>
      </c>
      <c r="AF24" s="465" t="s">
        <v>755</v>
      </c>
      <c r="AG24" s="462"/>
      <c r="AH24" s="466">
        <v>48</v>
      </c>
      <c r="AI24" s="466">
        <v>234475</v>
      </c>
      <c r="AJ24" s="467">
        <v>511.16</v>
      </c>
      <c r="AK24" s="142" t="s">
        <v>754</v>
      </c>
      <c r="AL24" s="143" t="s">
        <v>755</v>
      </c>
      <c r="AM24" s="118"/>
      <c r="AN24" s="144">
        <v>48</v>
      </c>
      <c r="AO24" s="144">
        <v>239617</v>
      </c>
      <c r="AP24" s="145">
        <v>514.88</v>
      </c>
      <c r="AQ24" s="142" t="s">
        <v>754</v>
      </c>
      <c r="AR24" s="143" t="s">
        <v>755</v>
      </c>
      <c r="AS24" s="118"/>
      <c r="AT24" s="144">
        <v>48</v>
      </c>
      <c r="AU24" s="144">
        <v>272887</v>
      </c>
      <c r="AV24" s="145">
        <v>540.67999999999995</v>
      </c>
      <c r="AW24" s="142" t="s">
        <v>754</v>
      </c>
      <c r="AX24" s="143" t="s">
        <v>755</v>
      </c>
      <c r="AY24" s="118"/>
      <c r="AZ24" s="144">
        <v>48</v>
      </c>
      <c r="BA24" s="144">
        <v>245944</v>
      </c>
      <c r="BB24" s="145">
        <v>520.83000000000004</v>
      </c>
      <c r="BC24" s="142" t="s">
        <v>754</v>
      </c>
      <c r="BD24" s="143" t="s">
        <v>755</v>
      </c>
      <c r="BE24" s="118"/>
      <c r="BF24" s="144">
        <v>49</v>
      </c>
      <c r="BG24" s="144">
        <v>212469</v>
      </c>
      <c r="BH24" s="145">
        <v>469.49</v>
      </c>
      <c r="BI24" s="142" t="s">
        <v>754</v>
      </c>
      <c r="BJ24" s="143" t="s">
        <v>755</v>
      </c>
      <c r="BK24" s="118"/>
      <c r="BL24" s="144">
        <v>47</v>
      </c>
      <c r="BM24" s="144">
        <v>233962</v>
      </c>
      <c r="BN24" s="145">
        <v>468.38</v>
      </c>
      <c r="BO24" s="142" t="s">
        <v>754</v>
      </c>
      <c r="BP24" s="143" t="s">
        <v>755</v>
      </c>
      <c r="BQ24" s="118"/>
      <c r="BR24" s="144">
        <v>47</v>
      </c>
      <c r="BS24" s="144">
        <v>217061</v>
      </c>
      <c r="BT24" s="145">
        <v>472.27</v>
      </c>
    </row>
    <row r="25" spans="1:72">
      <c r="A25" s="376" t="s">
        <v>756</v>
      </c>
      <c r="B25" s="377" t="s">
        <v>757</v>
      </c>
      <c r="C25" s="374"/>
      <c r="D25" s="385">
        <v>10</v>
      </c>
      <c r="E25" s="385">
        <v>33354</v>
      </c>
      <c r="F25" s="386">
        <v>122.5</v>
      </c>
      <c r="G25" s="398" t="s">
        <v>756</v>
      </c>
      <c r="H25" s="399" t="s">
        <v>757</v>
      </c>
      <c r="I25" s="396"/>
      <c r="J25" s="400">
        <v>10</v>
      </c>
      <c r="K25" s="400">
        <v>33932</v>
      </c>
      <c r="L25" s="401">
        <v>133.56</v>
      </c>
      <c r="M25" s="416" t="s">
        <v>756</v>
      </c>
      <c r="N25" s="417" t="s">
        <v>757</v>
      </c>
      <c r="O25" s="414"/>
      <c r="P25" s="418">
        <v>10</v>
      </c>
      <c r="Q25" s="418">
        <v>41688</v>
      </c>
      <c r="R25" s="419">
        <v>142.30000000000001</v>
      </c>
      <c r="S25" s="432" t="s">
        <v>756</v>
      </c>
      <c r="T25" s="433" t="s">
        <v>757</v>
      </c>
      <c r="U25" s="430"/>
      <c r="V25" s="434">
        <v>10</v>
      </c>
      <c r="W25" s="434">
        <v>5668</v>
      </c>
      <c r="X25" s="435">
        <v>166.48</v>
      </c>
      <c r="Y25" s="448" t="s">
        <v>756</v>
      </c>
      <c r="Z25" s="449" t="s">
        <v>757</v>
      </c>
      <c r="AA25" s="446"/>
      <c r="AB25" s="450">
        <v>10</v>
      </c>
      <c r="AC25" s="450">
        <v>18339</v>
      </c>
      <c r="AD25" s="451">
        <v>113.36</v>
      </c>
      <c r="AE25" s="464" t="s">
        <v>756</v>
      </c>
      <c r="AF25" s="465" t="s">
        <v>757</v>
      </c>
      <c r="AG25" s="462"/>
      <c r="AH25" s="466">
        <v>10</v>
      </c>
      <c r="AI25" s="466">
        <v>23856</v>
      </c>
      <c r="AJ25" s="467">
        <v>115.53</v>
      </c>
      <c r="AK25" s="142" t="s">
        <v>756</v>
      </c>
      <c r="AL25" s="143" t="s">
        <v>757</v>
      </c>
      <c r="AM25" s="118"/>
      <c r="AN25" s="144">
        <v>10</v>
      </c>
      <c r="AO25" s="144">
        <v>20329</v>
      </c>
      <c r="AP25" s="145">
        <v>158.86000000000001</v>
      </c>
      <c r="AQ25" s="142" t="s">
        <v>756</v>
      </c>
      <c r="AR25" s="143" t="s">
        <v>757</v>
      </c>
      <c r="AS25" s="118"/>
      <c r="AT25" s="144">
        <v>10</v>
      </c>
      <c r="AU25" s="144">
        <v>20040</v>
      </c>
      <c r="AV25" s="145">
        <v>111.78</v>
      </c>
      <c r="AW25" s="142" t="s">
        <v>756</v>
      </c>
      <c r="AX25" s="143" t="s">
        <v>757</v>
      </c>
      <c r="AY25" s="118"/>
      <c r="AZ25" s="144">
        <v>10</v>
      </c>
      <c r="BA25" s="144">
        <v>22784</v>
      </c>
      <c r="BB25" s="145">
        <v>117.25</v>
      </c>
      <c r="BC25" s="142" t="s">
        <v>756</v>
      </c>
      <c r="BD25" s="143" t="s">
        <v>757</v>
      </c>
      <c r="BE25" s="118"/>
      <c r="BF25" s="144">
        <v>10</v>
      </c>
      <c r="BG25" s="144">
        <v>17611</v>
      </c>
      <c r="BH25" s="145">
        <v>116.39</v>
      </c>
      <c r="BI25" s="142" t="s">
        <v>756</v>
      </c>
      <c r="BJ25" s="143" t="s">
        <v>757</v>
      </c>
      <c r="BK25" s="118"/>
      <c r="BL25" s="144">
        <v>9</v>
      </c>
      <c r="BM25" s="144">
        <v>23101</v>
      </c>
      <c r="BN25" s="145">
        <v>117.51</v>
      </c>
      <c r="BO25" s="142" t="s">
        <v>756</v>
      </c>
      <c r="BP25" s="143" t="s">
        <v>757</v>
      </c>
      <c r="BQ25" s="118"/>
      <c r="BR25" s="144">
        <v>9</v>
      </c>
      <c r="BS25" s="144">
        <v>25411</v>
      </c>
      <c r="BT25" s="145">
        <v>118.64</v>
      </c>
    </row>
    <row r="26" spans="1:72">
      <c r="A26" s="376" t="s">
        <v>758</v>
      </c>
      <c r="B26" s="377" t="s">
        <v>759</v>
      </c>
      <c r="C26" s="374"/>
      <c r="D26" s="385">
        <v>17</v>
      </c>
      <c r="E26" s="385">
        <v>242871</v>
      </c>
      <c r="F26" s="386">
        <v>1159.5999999999999</v>
      </c>
      <c r="G26" s="398" t="s">
        <v>758</v>
      </c>
      <c r="H26" s="399" t="s">
        <v>759</v>
      </c>
      <c r="I26" s="396"/>
      <c r="J26" s="400">
        <v>17</v>
      </c>
      <c r="K26" s="400">
        <v>323481</v>
      </c>
      <c r="L26" s="401">
        <v>1172.08</v>
      </c>
      <c r="M26" s="416" t="s">
        <v>758</v>
      </c>
      <c r="N26" s="417" t="s">
        <v>759</v>
      </c>
      <c r="O26" s="414"/>
      <c r="P26" s="418">
        <v>17</v>
      </c>
      <c r="Q26" s="418">
        <v>280056</v>
      </c>
      <c r="R26" s="419">
        <v>1542.48</v>
      </c>
      <c r="S26" s="432" t="s">
        <v>758</v>
      </c>
      <c r="T26" s="433" t="s">
        <v>759</v>
      </c>
      <c r="U26" s="430"/>
      <c r="V26" s="434">
        <v>17</v>
      </c>
      <c r="W26" s="434">
        <v>311321</v>
      </c>
      <c r="X26" s="435">
        <v>1534.48</v>
      </c>
      <c r="Y26" s="448" t="s">
        <v>758</v>
      </c>
      <c r="Z26" s="449" t="s">
        <v>759</v>
      </c>
      <c r="AA26" s="446"/>
      <c r="AB26" s="450">
        <v>17</v>
      </c>
      <c r="AC26" s="450">
        <v>291584</v>
      </c>
      <c r="AD26" s="451">
        <v>1551.76</v>
      </c>
      <c r="AE26" s="464" t="s">
        <v>758</v>
      </c>
      <c r="AF26" s="465" t="s">
        <v>759</v>
      </c>
      <c r="AG26" s="462"/>
      <c r="AH26" s="466">
        <v>17</v>
      </c>
      <c r="AI26" s="466">
        <v>331992</v>
      </c>
      <c r="AJ26" s="467">
        <v>1530.56</v>
      </c>
      <c r="AK26" s="142" t="s">
        <v>758</v>
      </c>
      <c r="AL26" s="143" t="s">
        <v>759</v>
      </c>
      <c r="AM26" s="118"/>
      <c r="AN26" s="144">
        <v>17</v>
      </c>
      <c r="AO26" s="144">
        <v>165317</v>
      </c>
      <c r="AP26" s="145">
        <v>999.76</v>
      </c>
      <c r="AQ26" s="142" t="s">
        <v>758</v>
      </c>
      <c r="AR26" s="143" t="s">
        <v>759</v>
      </c>
      <c r="AS26" s="118"/>
      <c r="AT26" s="144">
        <v>16</v>
      </c>
      <c r="AU26" s="144">
        <v>241933</v>
      </c>
      <c r="AV26" s="145">
        <v>1095.52</v>
      </c>
      <c r="AW26" s="142" t="s">
        <v>758</v>
      </c>
      <c r="AX26" s="143" t="s">
        <v>759</v>
      </c>
      <c r="AY26" s="118"/>
      <c r="AZ26" s="144">
        <v>16</v>
      </c>
      <c r="BA26" s="144">
        <v>350030</v>
      </c>
      <c r="BB26" s="145">
        <v>1760.4</v>
      </c>
      <c r="BC26" s="142" t="s">
        <v>758</v>
      </c>
      <c r="BD26" s="143" t="s">
        <v>759</v>
      </c>
      <c r="BE26" s="118"/>
      <c r="BF26" s="144">
        <v>16</v>
      </c>
      <c r="BG26" s="144">
        <v>317995</v>
      </c>
      <c r="BH26" s="145">
        <v>1503.04</v>
      </c>
      <c r="BI26" s="142" t="s">
        <v>758</v>
      </c>
      <c r="BJ26" s="143" t="s">
        <v>759</v>
      </c>
      <c r="BK26" s="118"/>
      <c r="BL26" s="144">
        <v>16</v>
      </c>
      <c r="BM26" s="144">
        <v>303868</v>
      </c>
      <c r="BN26" s="145">
        <v>1532.16</v>
      </c>
      <c r="BO26" s="142" t="s">
        <v>758</v>
      </c>
      <c r="BP26" s="143" t="s">
        <v>759</v>
      </c>
      <c r="BQ26" s="118"/>
      <c r="BR26" s="144">
        <v>16</v>
      </c>
      <c r="BS26" s="144">
        <v>257346</v>
      </c>
      <c r="BT26" s="145">
        <v>1532.08</v>
      </c>
    </row>
    <row r="27" spans="1:72">
      <c r="A27" s="376" t="s">
        <v>760</v>
      </c>
      <c r="B27" s="377" t="s">
        <v>761</v>
      </c>
      <c r="C27" s="374"/>
      <c r="D27" s="385">
        <v>7</v>
      </c>
      <c r="E27" s="385">
        <v>13091</v>
      </c>
      <c r="F27" s="386">
        <v>45.4</v>
      </c>
      <c r="G27" s="398" t="s">
        <v>760</v>
      </c>
      <c r="H27" s="399" t="s">
        <v>761</v>
      </c>
      <c r="I27" s="396"/>
      <c r="J27" s="400">
        <v>7</v>
      </c>
      <c r="K27" s="400">
        <v>13597</v>
      </c>
      <c r="L27" s="401">
        <v>73.099999999999994</v>
      </c>
      <c r="M27" s="416" t="s">
        <v>760</v>
      </c>
      <c r="N27" s="417" t="s">
        <v>761</v>
      </c>
      <c r="O27" s="414"/>
      <c r="P27" s="418">
        <v>7</v>
      </c>
      <c r="Q27" s="418">
        <v>9649</v>
      </c>
      <c r="R27" s="419">
        <v>46.8</v>
      </c>
      <c r="S27" s="432" t="s">
        <v>760</v>
      </c>
      <c r="T27" s="433" t="s">
        <v>761</v>
      </c>
      <c r="U27" s="430"/>
      <c r="V27" s="434">
        <v>7</v>
      </c>
      <c r="W27" s="434">
        <v>9806</v>
      </c>
      <c r="X27" s="435">
        <v>37.4</v>
      </c>
      <c r="Y27" s="448" t="s">
        <v>760</v>
      </c>
      <c r="Z27" s="449" t="s">
        <v>761</v>
      </c>
      <c r="AA27" s="446"/>
      <c r="AB27" s="450">
        <v>7</v>
      </c>
      <c r="AC27" s="450">
        <v>7521</v>
      </c>
      <c r="AD27" s="451">
        <v>32.299999999999997</v>
      </c>
      <c r="AE27" s="464" t="s">
        <v>760</v>
      </c>
      <c r="AF27" s="465" t="s">
        <v>761</v>
      </c>
      <c r="AG27" s="462"/>
      <c r="AH27" s="466">
        <v>7</v>
      </c>
      <c r="AI27" s="466">
        <v>10131</v>
      </c>
      <c r="AJ27" s="467">
        <v>43.9</v>
      </c>
      <c r="AK27" s="142" t="s">
        <v>760</v>
      </c>
      <c r="AL27" s="143" t="s">
        <v>761</v>
      </c>
      <c r="AM27" s="118"/>
      <c r="AN27" s="144">
        <v>7</v>
      </c>
      <c r="AO27" s="144">
        <v>10643</v>
      </c>
      <c r="AP27" s="145">
        <v>41.2</v>
      </c>
      <c r="AQ27" s="142" t="s">
        <v>760</v>
      </c>
      <c r="AR27" s="143" t="s">
        <v>761</v>
      </c>
      <c r="AS27" s="118"/>
      <c r="AT27" s="144">
        <v>7</v>
      </c>
      <c r="AU27" s="144">
        <v>12803</v>
      </c>
      <c r="AV27" s="145">
        <v>44.1</v>
      </c>
      <c r="AW27" s="142" t="s">
        <v>760</v>
      </c>
      <c r="AX27" s="143" t="s">
        <v>761</v>
      </c>
      <c r="AY27" s="118"/>
      <c r="AZ27" s="144">
        <v>7</v>
      </c>
      <c r="BA27" s="144">
        <v>10686</v>
      </c>
      <c r="BB27" s="145">
        <v>39.4</v>
      </c>
      <c r="BC27" s="142" t="s">
        <v>760</v>
      </c>
      <c r="BD27" s="143" t="s">
        <v>761</v>
      </c>
      <c r="BE27" s="118"/>
      <c r="BF27" s="144">
        <v>7</v>
      </c>
      <c r="BG27" s="144">
        <v>8219</v>
      </c>
      <c r="BH27" s="145">
        <v>35.9</v>
      </c>
      <c r="BI27" s="142" t="s">
        <v>760</v>
      </c>
      <c r="BJ27" s="143" t="s">
        <v>761</v>
      </c>
      <c r="BK27" s="118"/>
      <c r="BL27" s="144">
        <v>7</v>
      </c>
      <c r="BM27" s="144">
        <v>9524</v>
      </c>
      <c r="BN27" s="145">
        <v>42.7</v>
      </c>
      <c r="BO27" s="142" t="s">
        <v>760</v>
      </c>
      <c r="BP27" s="143" t="s">
        <v>761</v>
      </c>
      <c r="BQ27" s="118"/>
      <c r="BR27" s="144">
        <v>7</v>
      </c>
      <c r="BS27" s="144">
        <v>10858</v>
      </c>
      <c r="BT27" s="145">
        <v>50.7</v>
      </c>
    </row>
    <row r="28" spans="1:72">
      <c r="A28" s="378" t="s">
        <v>56</v>
      </c>
      <c r="B28" s="374"/>
      <c r="C28" s="374"/>
      <c r="D28" s="385">
        <v>832</v>
      </c>
      <c r="E28" s="385">
        <v>6809188.7999999998</v>
      </c>
      <c r="F28" s="386">
        <v>17613.79</v>
      </c>
      <c r="G28" s="402" t="s">
        <v>56</v>
      </c>
      <c r="H28" s="396"/>
      <c r="I28" s="396"/>
      <c r="J28" s="400">
        <v>830</v>
      </c>
      <c r="K28" s="400">
        <v>6973292</v>
      </c>
      <c r="L28" s="401">
        <v>16402.61</v>
      </c>
      <c r="M28" s="420" t="s">
        <v>56</v>
      </c>
      <c r="N28" s="414"/>
      <c r="O28" s="414"/>
      <c r="P28" s="418">
        <v>831</v>
      </c>
      <c r="Q28" s="418">
        <v>5726127</v>
      </c>
      <c r="R28" s="419">
        <v>18488.400000000001</v>
      </c>
      <c r="S28" s="436" t="s">
        <v>56</v>
      </c>
      <c r="T28" s="430"/>
      <c r="U28" s="430"/>
      <c r="V28" s="434">
        <v>829</v>
      </c>
      <c r="W28" s="434">
        <v>5840826</v>
      </c>
      <c r="X28" s="435">
        <v>16564.43</v>
      </c>
      <c r="Y28" s="452" t="s">
        <v>56</v>
      </c>
      <c r="Z28" s="446"/>
      <c r="AA28" s="446"/>
      <c r="AB28" s="450">
        <v>839</v>
      </c>
      <c r="AC28" s="450">
        <v>5450490</v>
      </c>
      <c r="AD28" s="451">
        <v>16041.36</v>
      </c>
      <c r="AE28" s="468" t="s">
        <v>56</v>
      </c>
      <c r="AF28" s="462"/>
      <c r="AG28" s="462"/>
      <c r="AH28" s="466">
        <v>840</v>
      </c>
      <c r="AI28" s="466">
        <v>6178594</v>
      </c>
      <c r="AJ28" s="467">
        <v>16237.57</v>
      </c>
      <c r="AK28" s="146" t="s">
        <v>56</v>
      </c>
      <c r="AL28" s="118"/>
      <c r="AM28" s="118"/>
      <c r="AN28" s="144">
        <v>842</v>
      </c>
      <c r="AO28" s="144">
        <v>5789385</v>
      </c>
      <c r="AP28" s="145">
        <v>15368.69</v>
      </c>
      <c r="AQ28" s="146" t="s">
        <v>56</v>
      </c>
      <c r="AR28" s="118"/>
      <c r="AS28" s="118"/>
      <c r="AT28" s="144">
        <v>838</v>
      </c>
      <c r="AU28" s="144">
        <v>6657651</v>
      </c>
      <c r="AV28" s="145">
        <v>16025.53</v>
      </c>
      <c r="AW28" s="146" t="s">
        <v>56</v>
      </c>
      <c r="AX28" s="118"/>
      <c r="AY28" s="118"/>
      <c r="AZ28" s="144">
        <v>837</v>
      </c>
      <c r="BA28" s="144">
        <v>6532824</v>
      </c>
      <c r="BB28" s="145">
        <v>16322.03</v>
      </c>
      <c r="BC28" s="146" t="s">
        <v>56</v>
      </c>
      <c r="BD28" s="118"/>
      <c r="BE28" s="118"/>
      <c r="BF28" s="144">
        <v>834</v>
      </c>
      <c r="BG28" s="144">
        <v>5700611</v>
      </c>
      <c r="BH28" s="145">
        <v>15405.45</v>
      </c>
      <c r="BI28" s="146" t="s">
        <v>56</v>
      </c>
      <c r="BJ28" s="118"/>
      <c r="BK28" s="118"/>
      <c r="BL28" s="144">
        <v>827</v>
      </c>
      <c r="BM28" s="144">
        <v>5634149</v>
      </c>
      <c r="BN28" s="145">
        <v>15325.08</v>
      </c>
      <c r="BO28" s="146" t="s">
        <v>56</v>
      </c>
      <c r="BP28" s="118"/>
      <c r="BQ28" s="118"/>
      <c r="BR28" s="144">
        <v>835</v>
      </c>
      <c r="BS28" s="144">
        <v>5642564</v>
      </c>
      <c r="BT28" s="145">
        <v>15935.91</v>
      </c>
    </row>
    <row r="29" spans="1:72">
      <c r="A29" s="373"/>
      <c r="B29" s="374"/>
      <c r="C29" s="374"/>
      <c r="D29" s="374"/>
      <c r="E29" s="107">
        <f>E28-E23</f>
        <v>5835318.7999999998</v>
      </c>
      <c r="F29" s="375"/>
      <c r="G29" s="402"/>
      <c r="H29" s="396"/>
      <c r="I29" s="396"/>
      <c r="J29" s="400"/>
      <c r="K29" s="107">
        <f>K28-K23</f>
        <v>5974822</v>
      </c>
      <c r="L29" s="401"/>
      <c r="M29" s="413"/>
      <c r="N29" s="414"/>
      <c r="O29" s="414"/>
      <c r="P29" s="414"/>
      <c r="Q29" s="107">
        <f>Q28-Q23</f>
        <v>4896857</v>
      </c>
      <c r="R29" s="415"/>
      <c r="S29" s="429"/>
      <c r="T29" s="430"/>
      <c r="U29" s="430"/>
      <c r="V29" s="430"/>
      <c r="W29" s="107">
        <f>W28-W23</f>
        <v>4950836</v>
      </c>
      <c r="X29" s="431"/>
      <c r="Y29" s="445"/>
      <c r="Z29" s="446"/>
      <c r="AA29" s="446"/>
      <c r="AB29" s="446"/>
      <c r="AC29" s="107">
        <f>AC28-AC23</f>
        <v>4594220</v>
      </c>
      <c r="AD29" s="447"/>
      <c r="AE29" s="461"/>
      <c r="AF29" s="462"/>
      <c r="AG29" s="462"/>
      <c r="AH29" s="462"/>
      <c r="AI29" s="107">
        <f>AI28-AI23</f>
        <v>5177124</v>
      </c>
      <c r="AJ29" s="463"/>
      <c r="AK29" s="122"/>
      <c r="AL29" s="118"/>
      <c r="AM29" s="118"/>
      <c r="AN29" s="118"/>
      <c r="AO29" s="107">
        <f>AO28-AO23</f>
        <v>4797875</v>
      </c>
      <c r="AP29" s="123"/>
      <c r="AQ29" s="122"/>
      <c r="AR29" s="118"/>
      <c r="AS29" s="118"/>
      <c r="AT29" s="118"/>
      <c r="AU29" s="107">
        <f>AU28-AU23</f>
        <v>5620901</v>
      </c>
      <c r="AV29" s="123"/>
      <c r="AW29" s="122"/>
      <c r="AX29" s="118"/>
      <c r="AY29" s="118"/>
      <c r="AZ29" s="118"/>
      <c r="BA29" s="107">
        <f>BA28-BA23</f>
        <v>5502554</v>
      </c>
      <c r="BB29" s="123"/>
      <c r="BC29" s="122"/>
      <c r="BD29" s="118"/>
      <c r="BE29" s="118"/>
      <c r="BF29" s="118"/>
      <c r="BG29" s="107">
        <f>BG28-BG23</f>
        <v>4780382</v>
      </c>
      <c r="BH29" s="123"/>
      <c r="BI29" s="122"/>
      <c r="BJ29" s="118"/>
      <c r="BK29" s="118"/>
      <c r="BL29" s="118"/>
      <c r="BM29" s="107">
        <f>BM28-BM23</f>
        <v>4731559</v>
      </c>
      <c r="BN29" s="123"/>
      <c r="BO29" s="122"/>
      <c r="BP29" s="118"/>
      <c r="BQ29" s="118"/>
      <c r="BR29" s="118"/>
      <c r="BS29" s="107">
        <f>BS28-BS23</f>
        <v>4719454</v>
      </c>
      <c r="BT29" s="123"/>
    </row>
    <row r="30" spans="1:72">
      <c r="A30" s="376" t="s">
        <v>762</v>
      </c>
      <c r="B30" s="377" t="s">
        <v>763</v>
      </c>
      <c r="C30" s="374"/>
      <c r="D30" s="385">
        <v>1</v>
      </c>
      <c r="E30" s="385">
        <v>0</v>
      </c>
      <c r="F30" s="386">
        <v>137.93</v>
      </c>
      <c r="G30" s="398" t="s">
        <v>762</v>
      </c>
      <c r="H30" s="399" t="s">
        <v>763</v>
      </c>
      <c r="I30" s="396"/>
      <c r="J30" s="400">
        <v>1</v>
      </c>
      <c r="K30" s="400">
        <v>10144.23</v>
      </c>
      <c r="L30" s="401">
        <v>107.93</v>
      </c>
      <c r="M30" s="416" t="s">
        <v>762</v>
      </c>
      <c r="N30" s="417" t="s">
        <v>763</v>
      </c>
      <c r="O30" s="414"/>
      <c r="P30" s="418">
        <v>1</v>
      </c>
      <c r="Q30" s="418">
        <v>47791.92</v>
      </c>
      <c r="R30" s="419">
        <v>0</v>
      </c>
      <c r="S30" s="432" t="s">
        <v>762</v>
      </c>
      <c r="T30" s="433" t="s">
        <v>763</v>
      </c>
      <c r="U30" s="430"/>
      <c r="V30" s="434">
        <v>1</v>
      </c>
      <c r="W30" s="434">
        <v>41262.22</v>
      </c>
      <c r="X30" s="435">
        <v>0</v>
      </c>
      <c r="Y30" s="448" t="s">
        <v>762</v>
      </c>
      <c r="Z30" s="449" t="s">
        <v>763</v>
      </c>
      <c r="AA30" s="446"/>
      <c r="AB30" s="450">
        <v>1</v>
      </c>
      <c r="AC30" s="450">
        <v>37650.04</v>
      </c>
      <c r="AD30" s="451">
        <v>0</v>
      </c>
      <c r="AE30" s="464" t="s">
        <v>762</v>
      </c>
      <c r="AF30" s="465" t="s">
        <v>763</v>
      </c>
      <c r="AG30" s="462"/>
      <c r="AH30" s="466">
        <v>1</v>
      </c>
      <c r="AI30" s="466">
        <v>34533.32</v>
      </c>
      <c r="AJ30" s="467">
        <v>0</v>
      </c>
      <c r="AK30" s="142" t="s">
        <v>762</v>
      </c>
      <c r="AL30" s="143" t="s">
        <v>763</v>
      </c>
      <c r="AM30" s="118"/>
      <c r="AN30" s="144">
        <v>1</v>
      </c>
      <c r="AO30" s="144">
        <v>36939.339999999997</v>
      </c>
      <c r="AP30" s="145">
        <v>0</v>
      </c>
      <c r="AQ30" s="142" t="s">
        <v>762</v>
      </c>
      <c r="AR30" s="143" t="s">
        <v>763</v>
      </c>
      <c r="AS30" s="118"/>
      <c r="AT30" s="144">
        <v>1</v>
      </c>
      <c r="AU30" s="144">
        <v>41185.24</v>
      </c>
      <c r="AV30" s="145">
        <v>0</v>
      </c>
      <c r="AW30" s="142" t="s">
        <v>762</v>
      </c>
      <c r="AX30" s="143" t="s">
        <v>763</v>
      </c>
      <c r="AY30" s="118"/>
      <c r="AZ30" s="144">
        <v>1</v>
      </c>
      <c r="BA30" s="144">
        <v>45006.54</v>
      </c>
      <c r="BB30" s="145">
        <v>0</v>
      </c>
      <c r="BC30" s="142" t="s">
        <v>762</v>
      </c>
      <c r="BD30" s="143" t="s">
        <v>763</v>
      </c>
      <c r="BE30" s="118"/>
      <c r="BF30" s="144">
        <v>1</v>
      </c>
      <c r="BG30" s="144">
        <v>51799.98</v>
      </c>
      <c r="BH30" s="145">
        <v>0</v>
      </c>
      <c r="BI30" s="142" t="s">
        <v>762</v>
      </c>
      <c r="BJ30" s="143" t="s">
        <v>763</v>
      </c>
      <c r="BK30" s="118"/>
      <c r="BL30" s="144">
        <v>1</v>
      </c>
      <c r="BM30" s="144">
        <v>54500.61</v>
      </c>
      <c r="BN30" s="145">
        <v>0</v>
      </c>
      <c r="BO30" s="142" t="s">
        <v>762</v>
      </c>
      <c r="BP30" s="143" t="s">
        <v>763</v>
      </c>
      <c r="BQ30" s="118"/>
      <c r="BR30" s="144">
        <v>1</v>
      </c>
      <c r="BS30" s="144">
        <v>58562.37</v>
      </c>
      <c r="BT30" s="145">
        <v>0</v>
      </c>
    </row>
    <row r="31" spans="1:72">
      <c r="A31" s="378" t="s">
        <v>604</v>
      </c>
      <c r="B31" s="374"/>
      <c r="C31" s="374"/>
      <c r="D31" s="385">
        <v>1</v>
      </c>
      <c r="E31" s="385">
        <v>0</v>
      </c>
      <c r="F31" s="386">
        <v>137.93</v>
      </c>
      <c r="G31" s="402" t="s">
        <v>604</v>
      </c>
      <c r="H31" s="396"/>
      <c r="I31" s="396"/>
      <c r="J31" s="400">
        <v>1</v>
      </c>
      <c r="K31" s="400">
        <v>10144.23</v>
      </c>
      <c r="L31" s="401">
        <v>107.93</v>
      </c>
      <c r="M31" s="420" t="s">
        <v>604</v>
      </c>
      <c r="N31" s="414"/>
      <c r="O31" s="414"/>
      <c r="P31" s="418">
        <v>1</v>
      </c>
      <c r="Q31" s="418">
        <v>47791.92</v>
      </c>
      <c r="R31" s="419">
        <v>0</v>
      </c>
      <c r="S31" s="436" t="s">
        <v>604</v>
      </c>
      <c r="T31" s="430"/>
      <c r="U31" s="430"/>
      <c r="V31" s="434">
        <v>1</v>
      </c>
      <c r="W31" s="434">
        <v>41262.22</v>
      </c>
      <c r="X31" s="435">
        <v>0</v>
      </c>
      <c r="Y31" s="452" t="s">
        <v>604</v>
      </c>
      <c r="Z31" s="446"/>
      <c r="AA31" s="446"/>
      <c r="AB31" s="450">
        <v>1</v>
      </c>
      <c r="AC31" s="450">
        <v>37650.04</v>
      </c>
      <c r="AD31" s="451">
        <v>0</v>
      </c>
      <c r="AE31" s="468" t="s">
        <v>604</v>
      </c>
      <c r="AF31" s="462"/>
      <c r="AG31" s="462"/>
      <c r="AH31" s="466">
        <v>1</v>
      </c>
      <c r="AI31" s="466">
        <v>34533.32</v>
      </c>
      <c r="AJ31" s="467">
        <v>0</v>
      </c>
      <c r="AK31" s="146" t="s">
        <v>604</v>
      </c>
      <c r="AL31" s="118"/>
      <c r="AM31" s="118"/>
      <c r="AN31" s="144">
        <v>1</v>
      </c>
      <c r="AO31" s="144">
        <v>36939.339999999997</v>
      </c>
      <c r="AP31" s="145">
        <v>0</v>
      </c>
      <c r="AQ31" s="146" t="s">
        <v>604</v>
      </c>
      <c r="AR31" s="118"/>
      <c r="AS31" s="118"/>
      <c r="AT31" s="144">
        <v>1</v>
      </c>
      <c r="AU31" s="144">
        <v>41185.24</v>
      </c>
      <c r="AV31" s="145">
        <v>0</v>
      </c>
      <c r="AW31" s="146" t="s">
        <v>604</v>
      </c>
      <c r="AX31" s="118"/>
      <c r="AY31" s="118"/>
      <c r="AZ31" s="144">
        <v>1</v>
      </c>
      <c r="BA31" s="144">
        <v>45006.54</v>
      </c>
      <c r="BB31" s="145">
        <v>0</v>
      </c>
      <c r="BC31" s="146" t="s">
        <v>604</v>
      </c>
      <c r="BD31" s="118"/>
      <c r="BE31" s="118"/>
      <c r="BF31" s="144">
        <v>1</v>
      </c>
      <c r="BG31" s="144">
        <v>51799.98</v>
      </c>
      <c r="BH31" s="145">
        <v>0</v>
      </c>
      <c r="BI31" s="146" t="s">
        <v>604</v>
      </c>
      <c r="BJ31" s="118"/>
      <c r="BK31" s="118"/>
      <c r="BL31" s="144">
        <v>1</v>
      </c>
      <c r="BM31" s="144">
        <v>54500.61</v>
      </c>
      <c r="BN31" s="145">
        <v>0</v>
      </c>
      <c r="BO31" s="146" t="s">
        <v>604</v>
      </c>
      <c r="BP31" s="118"/>
      <c r="BQ31" s="118"/>
      <c r="BR31" s="144">
        <v>1</v>
      </c>
      <c r="BS31" s="144">
        <v>58562.37</v>
      </c>
      <c r="BT31" s="145">
        <v>0</v>
      </c>
    </row>
    <row r="32" spans="1:72">
      <c r="A32" s="373"/>
      <c r="B32" s="374"/>
      <c r="C32" s="374"/>
      <c r="D32" s="374"/>
      <c r="E32" s="374"/>
      <c r="F32" s="375"/>
      <c r="G32" s="395"/>
      <c r="H32" s="396"/>
      <c r="I32" s="396"/>
      <c r="J32" s="396"/>
      <c r="K32" s="396"/>
      <c r="L32" s="397"/>
      <c r="M32" s="413"/>
      <c r="N32" s="414"/>
      <c r="O32" s="414"/>
      <c r="P32" s="414"/>
      <c r="Q32" s="414"/>
      <c r="R32" s="415"/>
      <c r="S32" s="429"/>
      <c r="T32" s="430"/>
      <c r="U32" s="430"/>
      <c r="V32" s="430"/>
      <c r="W32" s="430"/>
      <c r="X32" s="431"/>
      <c r="Y32" s="445"/>
      <c r="Z32" s="446"/>
      <c r="AA32" s="446"/>
      <c r="AB32" s="446"/>
      <c r="AC32" s="446"/>
      <c r="AD32" s="447"/>
      <c r="AE32" s="461"/>
      <c r="AF32" s="462"/>
      <c r="AG32" s="462"/>
      <c r="AH32" s="462"/>
      <c r="AI32" s="462"/>
      <c r="AJ32" s="463"/>
      <c r="AK32" s="122"/>
      <c r="AL32" s="118"/>
      <c r="AM32" s="118"/>
      <c r="AN32" s="118"/>
      <c r="AO32" s="118"/>
      <c r="AP32" s="123"/>
      <c r="AQ32" s="122"/>
      <c r="AR32" s="118"/>
      <c r="AS32" s="118"/>
      <c r="AT32" s="118"/>
      <c r="AU32" s="118"/>
      <c r="AV32" s="123"/>
      <c r="AW32" s="122"/>
      <c r="AX32" s="118"/>
      <c r="AY32" s="118"/>
      <c r="AZ32" s="118"/>
      <c r="BA32" s="118"/>
      <c r="BB32" s="123"/>
      <c r="BC32" s="122"/>
      <c r="BD32" s="118"/>
      <c r="BE32" s="118"/>
      <c r="BF32" s="118"/>
      <c r="BG32" s="118"/>
      <c r="BH32" s="123"/>
      <c r="BI32" s="122"/>
      <c r="BJ32" s="118"/>
      <c r="BK32" s="118"/>
      <c r="BL32" s="118"/>
      <c r="BM32" s="118"/>
      <c r="BN32" s="123"/>
      <c r="BO32" s="122"/>
      <c r="BP32" s="118"/>
      <c r="BQ32" s="118"/>
      <c r="BR32" s="118"/>
      <c r="BS32" s="118"/>
      <c r="BT32" s="123"/>
    </row>
    <row r="33" spans="1:72">
      <c r="A33" s="376" t="s">
        <v>764</v>
      </c>
      <c r="B33" s="377" t="s">
        <v>765</v>
      </c>
      <c r="C33" s="374"/>
      <c r="D33" s="385">
        <v>39</v>
      </c>
      <c r="E33" s="385">
        <v>110733</v>
      </c>
      <c r="F33" s="386">
        <v>0</v>
      </c>
      <c r="G33" s="398" t="s">
        <v>764</v>
      </c>
      <c r="H33" s="399" t="s">
        <v>765</v>
      </c>
      <c r="I33" s="396"/>
      <c r="J33" s="400">
        <v>39</v>
      </c>
      <c r="K33" s="400">
        <v>107370</v>
      </c>
      <c r="L33" s="401">
        <v>0</v>
      </c>
      <c r="M33" s="416" t="s">
        <v>764</v>
      </c>
      <c r="N33" s="417" t="s">
        <v>765</v>
      </c>
      <c r="O33" s="414"/>
      <c r="P33" s="418">
        <v>39</v>
      </c>
      <c r="Q33" s="418">
        <v>70300</v>
      </c>
      <c r="R33" s="419">
        <v>0</v>
      </c>
      <c r="S33" s="432" t="s">
        <v>764</v>
      </c>
      <c r="T33" s="433" t="s">
        <v>765</v>
      </c>
      <c r="U33" s="430"/>
      <c r="V33" s="434">
        <v>39</v>
      </c>
      <c r="W33" s="434">
        <v>60532</v>
      </c>
      <c r="X33" s="435">
        <v>0</v>
      </c>
      <c r="Y33" s="448" t="s">
        <v>764</v>
      </c>
      <c r="Z33" s="449" t="s">
        <v>765</v>
      </c>
      <c r="AA33" s="446"/>
      <c r="AB33" s="450">
        <v>39</v>
      </c>
      <c r="AC33" s="450">
        <v>41536</v>
      </c>
      <c r="AD33" s="451">
        <v>0</v>
      </c>
      <c r="AE33" s="464" t="s">
        <v>764</v>
      </c>
      <c r="AF33" s="465" t="s">
        <v>765</v>
      </c>
      <c r="AG33" s="462"/>
      <c r="AH33" s="466">
        <v>39</v>
      </c>
      <c r="AI33" s="466">
        <v>49493</v>
      </c>
      <c r="AJ33" s="467">
        <v>0</v>
      </c>
      <c r="AK33" s="142" t="s">
        <v>764</v>
      </c>
      <c r="AL33" s="143" t="s">
        <v>765</v>
      </c>
      <c r="AM33" s="118"/>
      <c r="AN33" s="144">
        <v>39</v>
      </c>
      <c r="AO33" s="144">
        <v>47040</v>
      </c>
      <c r="AP33" s="145">
        <v>0</v>
      </c>
      <c r="AQ33" s="142" t="s">
        <v>764</v>
      </c>
      <c r="AR33" s="143" t="s">
        <v>765</v>
      </c>
      <c r="AS33" s="118"/>
      <c r="AT33" s="144">
        <v>39</v>
      </c>
      <c r="AU33" s="144">
        <v>56073</v>
      </c>
      <c r="AV33" s="145">
        <v>0</v>
      </c>
      <c r="AW33" s="142" t="s">
        <v>764</v>
      </c>
      <c r="AX33" s="143" t="s">
        <v>765</v>
      </c>
      <c r="AY33" s="118"/>
      <c r="AZ33" s="144">
        <v>39</v>
      </c>
      <c r="BA33" s="144">
        <v>45985</v>
      </c>
      <c r="BB33" s="145">
        <v>0</v>
      </c>
      <c r="BC33" s="142" t="s">
        <v>764</v>
      </c>
      <c r="BD33" s="143" t="s">
        <v>765</v>
      </c>
      <c r="BE33" s="118"/>
      <c r="BF33" s="144">
        <v>39</v>
      </c>
      <c r="BG33" s="144">
        <v>39941</v>
      </c>
      <c r="BH33" s="145">
        <v>0</v>
      </c>
      <c r="BI33" s="142" t="s">
        <v>764</v>
      </c>
      <c r="BJ33" s="143" t="s">
        <v>765</v>
      </c>
      <c r="BK33" s="118"/>
      <c r="BL33" s="144">
        <v>39</v>
      </c>
      <c r="BM33" s="144">
        <v>67660</v>
      </c>
      <c r="BN33" s="145">
        <v>0</v>
      </c>
      <c r="BO33" s="142" t="s">
        <v>764</v>
      </c>
      <c r="BP33" s="143" t="s">
        <v>765</v>
      </c>
      <c r="BQ33" s="118"/>
      <c r="BR33" s="144">
        <v>39</v>
      </c>
      <c r="BS33" s="144">
        <v>73664</v>
      </c>
      <c r="BT33" s="145">
        <v>0</v>
      </c>
    </row>
    <row r="34" spans="1:72">
      <c r="A34" s="378" t="s">
        <v>766</v>
      </c>
      <c r="B34" s="374"/>
      <c r="C34" s="374"/>
      <c r="D34" s="385">
        <v>39</v>
      </c>
      <c r="E34" s="385">
        <v>110733</v>
      </c>
      <c r="F34" s="386">
        <v>0</v>
      </c>
      <c r="G34" s="402" t="s">
        <v>766</v>
      </c>
      <c r="H34" s="396"/>
      <c r="I34" s="396"/>
      <c r="J34" s="400">
        <v>39</v>
      </c>
      <c r="K34" s="400">
        <v>107370</v>
      </c>
      <c r="L34" s="401">
        <v>0</v>
      </c>
      <c r="M34" s="420" t="s">
        <v>766</v>
      </c>
      <c r="N34" s="414"/>
      <c r="O34" s="414"/>
      <c r="P34" s="418">
        <v>39</v>
      </c>
      <c r="Q34" s="418">
        <v>70300</v>
      </c>
      <c r="R34" s="419">
        <v>0</v>
      </c>
      <c r="S34" s="436" t="s">
        <v>766</v>
      </c>
      <c r="T34" s="430"/>
      <c r="U34" s="430"/>
      <c r="V34" s="434">
        <v>39</v>
      </c>
      <c r="W34" s="434">
        <v>60532</v>
      </c>
      <c r="X34" s="435">
        <v>0</v>
      </c>
      <c r="Y34" s="452" t="s">
        <v>766</v>
      </c>
      <c r="Z34" s="446"/>
      <c r="AA34" s="446"/>
      <c r="AB34" s="450">
        <v>39</v>
      </c>
      <c r="AC34" s="450">
        <v>41536</v>
      </c>
      <c r="AD34" s="451">
        <v>0</v>
      </c>
      <c r="AE34" s="468" t="s">
        <v>766</v>
      </c>
      <c r="AF34" s="462"/>
      <c r="AG34" s="462"/>
      <c r="AH34" s="466">
        <v>39</v>
      </c>
      <c r="AI34" s="466">
        <v>49493</v>
      </c>
      <c r="AJ34" s="467">
        <v>0</v>
      </c>
      <c r="AK34" s="146" t="s">
        <v>766</v>
      </c>
      <c r="AL34" s="118"/>
      <c r="AM34" s="118"/>
      <c r="AN34" s="144">
        <v>39</v>
      </c>
      <c r="AO34" s="144">
        <v>47040</v>
      </c>
      <c r="AP34" s="145">
        <v>0</v>
      </c>
      <c r="AQ34" s="146" t="s">
        <v>766</v>
      </c>
      <c r="AR34" s="118"/>
      <c r="AS34" s="118"/>
      <c r="AT34" s="144">
        <v>39</v>
      </c>
      <c r="AU34" s="144">
        <v>56073</v>
      </c>
      <c r="AV34" s="145">
        <v>0</v>
      </c>
      <c r="AW34" s="146" t="s">
        <v>766</v>
      </c>
      <c r="AX34" s="118"/>
      <c r="AY34" s="118"/>
      <c r="AZ34" s="144">
        <v>39</v>
      </c>
      <c r="BA34" s="144">
        <v>45985</v>
      </c>
      <c r="BB34" s="145">
        <v>0</v>
      </c>
      <c r="BC34" s="146" t="s">
        <v>766</v>
      </c>
      <c r="BD34" s="118"/>
      <c r="BE34" s="118"/>
      <c r="BF34" s="144">
        <v>39</v>
      </c>
      <c r="BG34" s="144">
        <v>39941</v>
      </c>
      <c r="BH34" s="145">
        <v>0</v>
      </c>
      <c r="BI34" s="146" t="s">
        <v>766</v>
      </c>
      <c r="BJ34" s="118"/>
      <c r="BK34" s="118"/>
      <c r="BL34" s="144">
        <v>39</v>
      </c>
      <c r="BM34" s="144">
        <v>67660</v>
      </c>
      <c r="BN34" s="145">
        <v>0</v>
      </c>
      <c r="BO34" s="146" t="s">
        <v>766</v>
      </c>
      <c r="BP34" s="118"/>
      <c r="BQ34" s="118"/>
      <c r="BR34" s="144">
        <v>39</v>
      </c>
      <c r="BS34" s="144">
        <v>73664</v>
      </c>
      <c r="BT34" s="145">
        <v>0</v>
      </c>
    </row>
    <row r="35" spans="1:72">
      <c r="A35" s="373"/>
      <c r="B35" s="374"/>
      <c r="C35" s="374"/>
      <c r="D35" s="374"/>
      <c r="E35" s="374"/>
      <c r="F35" s="375"/>
      <c r="G35" s="395"/>
      <c r="H35" s="396"/>
      <c r="I35" s="396"/>
      <c r="J35" s="396"/>
      <c r="K35" s="396"/>
      <c r="L35" s="397"/>
      <c r="M35" s="413"/>
      <c r="N35" s="414"/>
      <c r="O35" s="414"/>
      <c r="P35" s="414"/>
      <c r="Q35" s="414"/>
      <c r="R35" s="415"/>
      <c r="S35" s="429"/>
      <c r="T35" s="430"/>
      <c r="U35" s="430"/>
      <c r="V35" s="430"/>
      <c r="W35" s="430"/>
      <c r="X35" s="431"/>
      <c r="Y35" s="445"/>
      <c r="Z35" s="446"/>
      <c r="AA35" s="446"/>
      <c r="AB35" s="446"/>
      <c r="AC35" s="446"/>
      <c r="AD35" s="447"/>
      <c r="AE35" s="461"/>
      <c r="AF35" s="462"/>
      <c r="AG35" s="462"/>
      <c r="AH35" s="462"/>
      <c r="AI35" s="462"/>
      <c r="AJ35" s="463"/>
      <c r="AK35" s="122"/>
      <c r="AL35" s="118"/>
      <c r="AM35" s="118"/>
      <c r="AN35" s="118"/>
      <c r="AO35" s="118"/>
      <c r="AP35" s="123"/>
      <c r="AQ35" s="122"/>
      <c r="AR35" s="118"/>
      <c r="AS35" s="118"/>
      <c r="AT35" s="118"/>
      <c r="AU35" s="118"/>
      <c r="AV35" s="123"/>
      <c r="AW35" s="122"/>
      <c r="AX35" s="118"/>
      <c r="AY35" s="118"/>
      <c r="AZ35" s="118"/>
      <c r="BA35" s="118"/>
      <c r="BB35" s="123"/>
      <c r="BC35" s="122"/>
      <c r="BD35" s="118"/>
      <c r="BE35" s="118"/>
      <c r="BF35" s="118"/>
      <c r="BG35" s="118"/>
      <c r="BH35" s="123"/>
      <c r="BI35" s="122"/>
      <c r="BJ35" s="118"/>
      <c r="BK35" s="118"/>
      <c r="BL35" s="118"/>
      <c r="BM35" s="118"/>
      <c r="BN35" s="123"/>
      <c r="BO35" s="122"/>
      <c r="BP35" s="118"/>
      <c r="BQ35" s="118"/>
      <c r="BR35" s="118"/>
      <c r="BS35" s="118"/>
      <c r="BT35" s="123"/>
    </row>
    <row r="36" spans="1:72">
      <c r="A36" s="376" t="s">
        <v>767</v>
      </c>
      <c r="B36" s="377" t="s">
        <v>768</v>
      </c>
      <c r="C36" s="374"/>
      <c r="D36" s="385">
        <v>4999</v>
      </c>
      <c r="E36" s="385">
        <v>6424847</v>
      </c>
      <c r="F36" s="386">
        <v>674.82</v>
      </c>
      <c r="G36" s="398" t="s">
        <v>767</v>
      </c>
      <c r="H36" s="399" t="s">
        <v>768</v>
      </c>
      <c r="I36" s="396"/>
      <c r="J36" s="400">
        <v>4970</v>
      </c>
      <c r="K36" s="400">
        <v>7045851</v>
      </c>
      <c r="L36" s="401">
        <v>692.28</v>
      </c>
      <c r="M36" s="416" t="s">
        <v>767</v>
      </c>
      <c r="N36" s="417" t="s">
        <v>768</v>
      </c>
      <c r="O36" s="414"/>
      <c r="P36" s="418">
        <v>4950</v>
      </c>
      <c r="Q36" s="418">
        <v>5021842</v>
      </c>
      <c r="R36" s="419">
        <v>708.28</v>
      </c>
      <c r="S36" s="432" t="s">
        <v>767</v>
      </c>
      <c r="T36" s="433" t="s">
        <v>768</v>
      </c>
      <c r="U36" s="430"/>
      <c r="V36" s="434">
        <v>4946</v>
      </c>
      <c r="W36" s="434">
        <v>4614965</v>
      </c>
      <c r="X36" s="435">
        <v>703.4</v>
      </c>
      <c r="Y36" s="448" t="s">
        <v>767</v>
      </c>
      <c r="Z36" s="449" t="s">
        <v>768</v>
      </c>
      <c r="AA36" s="446"/>
      <c r="AB36" s="450">
        <v>4986</v>
      </c>
      <c r="AC36" s="450">
        <v>3529117</v>
      </c>
      <c r="AD36" s="451">
        <v>605.11</v>
      </c>
      <c r="AE36" s="464" t="s">
        <v>767</v>
      </c>
      <c r="AF36" s="465" t="s">
        <v>768</v>
      </c>
      <c r="AG36" s="462"/>
      <c r="AH36" s="466">
        <v>5053</v>
      </c>
      <c r="AI36" s="466">
        <v>3517645</v>
      </c>
      <c r="AJ36" s="467">
        <v>586.66999999999996</v>
      </c>
      <c r="AK36" s="142" t="s">
        <v>767</v>
      </c>
      <c r="AL36" s="143" t="s">
        <v>768</v>
      </c>
      <c r="AM36" s="118"/>
      <c r="AN36" s="144">
        <v>5403</v>
      </c>
      <c r="AO36" s="144">
        <v>3594453</v>
      </c>
      <c r="AP36" s="145">
        <v>578.74</v>
      </c>
      <c r="AQ36" s="142" t="s">
        <v>767</v>
      </c>
      <c r="AR36" s="143" t="s">
        <v>768</v>
      </c>
      <c r="AS36" s="118"/>
      <c r="AT36" s="144">
        <v>5513</v>
      </c>
      <c r="AU36" s="144">
        <v>4221282</v>
      </c>
      <c r="AV36" s="145">
        <v>570.53</v>
      </c>
      <c r="AW36" s="142" t="s">
        <v>767</v>
      </c>
      <c r="AX36" s="143" t="s">
        <v>768</v>
      </c>
      <c r="AY36" s="118"/>
      <c r="AZ36" s="144">
        <v>4982</v>
      </c>
      <c r="BA36" s="144">
        <v>4580924</v>
      </c>
      <c r="BB36" s="145">
        <v>620.61</v>
      </c>
      <c r="BC36" s="142" t="s">
        <v>767</v>
      </c>
      <c r="BD36" s="143" t="s">
        <v>768</v>
      </c>
      <c r="BE36" s="118"/>
      <c r="BF36" s="144">
        <v>4994</v>
      </c>
      <c r="BG36" s="144">
        <v>3731471</v>
      </c>
      <c r="BH36" s="145">
        <v>1053.01</v>
      </c>
      <c r="BI36" s="142" t="s">
        <v>767</v>
      </c>
      <c r="BJ36" s="143" t="s">
        <v>768</v>
      </c>
      <c r="BK36" s="118"/>
      <c r="BL36" s="144">
        <v>4966</v>
      </c>
      <c r="BM36" s="144">
        <v>4891588</v>
      </c>
      <c r="BN36" s="145">
        <v>638.28</v>
      </c>
      <c r="BO36" s="142" t="s">
        <v>767</v>
      </c>
      <c r="BP36" s="143" t="s">
        <v>768</v>
      </c>
      <c r="BQ36" s="118"/>
      <c r="BR36" s="144">
        <v>4964</v>
      </c>
      <c r="BS36" s="144">
        <v>5311763</v>
      </c>
      <c r="BT36" s="145">
        <v>679.08</v>
      </c>
    </row>
    <row r="37" spans="1:72">
      <c r="A37" s="378" t="s">
        <v>769</v>
      </c>
      <c r="B37" s="374"/>
      <c r="C37" s="374"/>
      <c r="D37" s="385">
        <v>4999</v>
      </c>
      <c r="E37" s="385">
        <v>6424847</v>
      </c>
      <c r="F37" s="386">
        <v>674.82</v>
      </c>
      <c r="G37" s="402" t="s">
        <v>769</v>
      </c>
      <c r="H37" s="396"/>
      <c r="I37" s="396"/>
      <c r="J37" s="400">
        <v>4970</v>
      </c>
      <c r="K37" s="400">
        <v>7045851</v>
      </c>
      <c r="L37" s="401">
        <v>692.28</v>
      </c>
      <c r="M37" s="420" t="s">
        <v>769</v>
      </c>
      <c r="N37" s="414"/>
      <c r="O37" s="414"/>
      <c r="P37" s="418">
        <v>4950</v>
      </c>
      <c r="Q37" s="418">
        <v>5021842</v>
      </c>
      <c r="R37" s="419">
        <v>708.28</v>
      </c>
      <c r="S37" s="436" t="s">
        <v>769</v>
      </c>
      <c r="T37" s="430"/>
      <c r="U37" s="430"/>
      <c r="V37" s="434">
        <v>4946</v>
      </c>
      <c r="W37" s="434">
        <v>4614965</v>
      </c>
      <c r="X37" s="435">
        <v>703.4</v>
      </c>
      <c r="Y37" s="452" t="s">
        <v>769</v>
      </c>
      <c r="Z37" s="446"/>
      <c r="AA37" s="446"/>
      <c r="AB37" s="450">
        <v>4986</v>
      </c>
      <c r="AC37" s="450">
        <v>3529117</v>
      </c>
      <c r="AD37" s="451">
        <v>605.11</v>
      </c>
      <c r="AE37" s="468" t="s">
        <v>769</v>
      </c>
      <c r="AF37" s="462"/>
      <c r="AG37" s="462"/>
      <c r="AH37" s="466">
        <v>5053</v>
      </c>
      <c r="AI37" s="466">
        <v>3517645</v>
      </c>
      <c r="AJ37" s="467">
        <v>586.66999999999996</v>
      </c>
      <c r="AK37" s="146" t="s">
        <v>769</v>
      </c>
      <c r="AL37" s="118"/>
      <c r="AM37" s="118"/>
      <c r="AN37" s="144">
        <v>5403</v>
      </c>
      <c r="AO37" s="144">
        <v>3594453</v>
      </c>
      <c r="AP37" s="145">
        <v>578.74</v>
      </c>
      <c r="AQ37" s="146" t="s">
        <v>769</v>
      </c>
      <c r="AR37" s="118"/>
      <c r="AS37" s="118"/>
      <c r="AT37" s="144">
        <v>5513</v>
      </c>
      <c r="AU37" s="144">
        <v>4221282</v>
      </c>
      <c r="AV37" s="145">
        <v>570.53</v>
      </c>
      <c r="AW37" s="146" t="s">
        <v>769</v>
      </c>
      <c r="AX37" s="118"/>
      <c r="AY37" s="118"/>
      <c r="AZ37" s="144">
        <v>4982</v>
      </c>
      <c r="BA37" s="144">
        <v>4580924</v>
      </c>
      <c r="BB37" s="145">
        <v>620.61</v>
      </c>
      <c r="BC37" s="146" t="s">
        <v>769</v>
      </c>
      <c r="BD37" s="118"/>
      <c r="BE37" s="118"/>
      <c r="BF37" s="144">
        <v>4994</v>
      </c>
      <c r="BG37" s="144">
        <v>3731471</v>
      </c>
      <c r="BH37" s="145">
        <v>1053.01</v>
      </c>
      <c r="BI37" s="146" t="s">
        <v>769</v>
      </c>
      <c r="BJ37" s="118"/>
      <c r="BK37" s="118"/>
      <c r="BL37" s="144">
        <v>4966</v>
      </c>
      <c r="BM37" s="144">
        <v>4891588</v>
      </c>
      <c r="BN37" s="145">
        <v>638.28</v>
      </c>
      <c r="BO37" s="146" t="s">
        <v>769</v>
      </c>
      <c r="BP37" s="118"/>
      <c r="BQ37" s="118"/>
      <c r="BR37" s="144">
        <v>4964</v>
      </c>
      <c r="BS37" s="144">
        <v>5311763</v>
      </c>
      <c r="BT37" s="145">
        <v>679.08</v>
      </c>
    </row>
    <row r="38" spans="1:72">
      <c r="A38" s="378"/>
      <c r="B38" s="374"/>
      <c r="C38" s="374"/>
      <c r="D38" s="385"/>
      <c r="E38" s="385"/>
      <c r="F38" s="386"/>
      <c r="G38" s="402"/>
      <c r="H38" s="396"/>
      <c r="I38" s="396"/>
      <c r="J38" s="400"/>
      <c r="K38" s="400"/>
      <c r="L38" s="401"/>
      <c r="M38" s="420"/>
      <c r="N38" s="414"/>
      <c r="O38" s="414"/>
      <c r="P38" s="418"/>
      <c r="Q38" s="418"/>
      <c r="R38" s="419"/>
      <c r="S38" s="429"/>
      <c r="T38" s="430"/>
      <c r="U38" s="430"/>
      <c r="V38" s="430"/>
      <c r="W38" s="430"/>
      <c r="X38" s="431"/>
      <c r="Y38" s="445"/>
      <c r="Z38" s="446"/>
      <c r="AA38" s="446"/>
      <c r="AB38" s="446"/>
      <c r="AC38" s="446"/>
      <c r="AD38" s="447"/>
      <c r="AE38" s="468"/>
      <c r="AF38" s="462"/>
      <c r="AG38" s="462"/>
      <c r="AH38" s="466"/>
      <c r="AI38" s="466"/>
      <c r="AJ38" s="467"/>
      <c r="AK38" s="122"/>
      <c r="AL38" s="118"/>
      <c r="AM38" s="118"/>
      <c r="AN38" s="118"/>
      <c r="AO38" s="118"/>
      <c r="AP38" s="123"/>
      <c r="AQ38" s="122"/>
      <c r="AR38" s="118"/>
      <c r="AS38" s="118"/>
      <c r="AT38" s="118"/>
      <c r="AU38" s="118"/>
      <c r="AV38" s="123"/>
      <c r="AW38" s="122"/>
      <c r="AX38" s="118"/>
      <c r="AY38" s="118"/>
      <c r="AZ38" s="118"/>
      <c r="BA38" s="118"/>
      <c r="BB38" s="123"/>
      <c r="BC38" s="122"/>
      <c r="BD38" s="118"/>
      <c r="BE38" s="118"/>
      <c r="BF38" s="118"/>
      <c r="BG38" s="118"/>
      <c r="BH38" s="123"/>
      <c r="BI38" s="122"/>
      <c r="BJ38" s="118"/>
      <c r="BK38" s="118"/>
      <c r="BL38" s="118"/>
      <c r="BM38" s="118"/>
      <c r="BN38" s="123"/>
      <c r="BO38" s="122"/>
      <c r="BP38" s="118"/>
      <c r="BQ38" s="118"/>
      <c r="BR38" s="118"/>
      <c r="BS38" s="118"/>
      <c r="BT38" s="123"/>
    </row>
    <row r="39" spans="1:72">
      <c r="A39" s="381" t="s">
        <v>770</v>
      </c>
      <c r="B39" s="382"/>
      <c r="C39" s="382"/>
      <c r="D39" s="389">
        <v>6178</v>
      </c>
      <c r="E39" s="389">
        <v>26437802.800000001</v>
      </c>
      <c r="F39" s="390">
        <v>48291.8</v>
      </c>
      <c r="G39" s="403" t="s">
        <v>770</v>
      </c>
      <c r="H39" s="404"/>
      <c r="I39" s="404"/>
      <c r="J39" s="405">
        <v>6141</v>
      </c>
      <c r="K39" s="405">
        <v>30666714.23</v>
      </c>
      <c r="L39" s="406">
        <v>49490.080000000002</v>
      </c>
      <c r="M39" s="421" t="s">
        <v>770</v>
      </c>
      <c r="N39" s="422"/>
      <c r="O39" s="422"/>
      <c r="P39" s="423">
        <v>6126</v>
      </c>
      <c r="Q39" s="423">
        <v>24573755.920000002</v>
      </c>
      <c r="R39" s="424">
        <v>53727.33</v>
      </c>
      <c r="S39" s="437" t="s">
        <v>770</v>
      </c>
      <c r="T39" s="438"/>
      <c r="U39" s="438"/>
      <c r="V39" s="439">
        <v>6119</v>
      </c>
      <c r="W39" s="439">
        <v>25711508.219999999</v>
      </c>
      <c r="X39" s="440">
        <v>52886.96</v>
      </c>
      <c r="Y39" s="453" t="s">
        <v>770</v>
      </c>
      <c r="Z39" s="454"/>
      <c r="AA39" s="454"/>
      <c r="AB39" s="455">
        <v>6169</v>
      </c>
      <c r="AC39" s="455">
        <v>24772995.039999999</v>
      </c>
      <c r="AD39" s="456">
        <v>53135.72</v>
      </c>
      <c r="AE39" s="469" t="s">
        <v>770</v>
      </c>
      <c r="AF39" s="470"/>
      <c r="AG39" s="470"/>
      <c r="AH39" s="471">
        <v>6238</v>
      </c>
      <c r="AI39" s="471">
        <v>24373742.32</v>
      </c>
      <c r="AJ39" s="472">
        <v>49899.57</v>
      </c>
      <c r="AK39" s="147" t="s">
        <v>770</v>
      </c>
      <c r="AL39" s="125"/>
      <c r="AM39" s="125"/>
      <c r="AN39" s="148">
        <v>6592</v>
      </c>
      <c r="AO39" s="148">
        <v>25252846.34</v>
      </c>
      <c r="AP39" s="149">
        <v>50293.78</v>
      </c>
      <c r="AQ39" s="147" t="s">
        <v>770</v>
      </c>
      <c r="AR39" s="125"/>
      <c r="AS39" s="125"/>
      <c r="AT39" s="148">
        <v>6699</v>
      </c>
      <c r="AU39" s="148">
        <v>30041926.239999998</v>
      </c>
      <c r="AV39" s="149">
        <v>54613.87</v>
      </c>
      <c r="AW39" s="147" t="s">
        <v>770</v>
      </c>
      <c r="AX39" s="125"/>
      <c r="AY39" s="125"/>
      <c r="AZ39" s="148">
        <v>6164</v>
      </c>
      <c r="BA39" s="148">
        <v>29395882.539999999</v>
      </c>
      <c r="BB39" s="149">
        <v>57100.14</v>
      </c>
      <c r="BC39" s="147" t="s">
        <v>770</v>
      </c>
      <c r="BD39" s="125"/>
      <c r="BE39" s="125"/>
      <c r="BF39" s="148">
        <v>6173</v>
      </c>
      <c r="BG39" s="148">
        <v>26228486.98</v>
      </c>
      <c r="BH39" s="149">
        <v>56341.69</v>
      </c>
      <c r="BI39" s="147" t="s">
        <v>770</v>
      </c>
      <c r="BJ39" s="125"/>
      <c r="BK39" s="125"/>
      <c r="BL39" s="148">
        <v>6141</v>
      </c>
      <c r="BM39" s="148">
        <v>27893086.609999999</v>
      </c>
      <c r="BN39" s="149">
        <v>53460.42</v>
      </c>
      <c r="BO39" s="147" t="s">
        <v>770</v>
      </c>
      <c r="BP39" s="125"/>
      <c r="BQ39" s="125"/>
      <c r="BR39" s="148">
        <v>6144</v>
      </c>
      <c r="BS39" s="148">
        <v>25581457.370000001</v>
      </c>
      <c r="BT39" s="149">
        <v>54114.02</v>
      </c>
    </row>
    <row r="40" spans="1:72">
      <c r="A40" s="379" t="s">
        <v>55</v>
      </c>
      <c r="B40" s="33"/>
      <c r="C40" s="106">
        <f>E36</f>
        <v>6424847</v>
      </c>
      <c r="D40" s="100"/>
      <c r="E40" s="100"/>
      <c r="F40" s="105"/>
      <c r="G40" s="407" t="s">
        <v>55</v>
      </c>
      <c r="H40" s="70"/>
      <c r="I40" s="408">
        <f>K36</f>
        <v>7045851</v>
      </c>
      <c r="J40" s="70"/>
      <c r="K40" s="70"/>
      <c r="L40" s="71"/>
      <c r="M40" s="407" t="s">
        <v>55</v>
      </c>
      <c r="N40" s="70"/>
      <c r="O40" s="408">
        <f>Q36</f>
        <v>5021842</v>
      </c>
      <c r="P40" s="70"/>
      <c r="Q40" s="70"/>
      <c r="R40" s="71"/>
      <c r="S40" s="407" t="s">
        <v>55</v>
      </c>
      <c r="T40" s="70"/>
      <c r="U40" s="408">
        <f>W36</f>
        <v>4614965</v>
      </c>
      <c r="V40" s="70"/>
      <c r="W40" s="70"/>
      <c r="X40" s="71"/>
      <c r="Y40" s="407" t="s">
        <v>55</v>
      </c>
      <c r="Z40" s="70"/>
      <c r="AA40" s="408">
        <f>AC36</f>
        <v>3529117</v>
      </c>
      <c r="AB40" s="70"/>
      <c r="AC40" s="70"/>
      <c r="AD40" s="71"/>
      <c r="AE40" s="407" t="s">
        <v>55</v>
      </c>
      <c r="AF40" s="70"/>
      <c r="AG40" s="408">
        <f>AI36</f>
        <v>3517645</v>
      </c>
      <c r="AH40" s="70"/>
      <c r="AI40" s="70"/>
      <c r="AJ40" s="71"/>
      <c r="AK40" s="407" t="s">
        <v>55</v>
      </c>
      <c r="AL40" s="70"/>
      <c r="AM40" s="408">
        <f>AO36</f>
        <v>3594453</v>
      </c>
      <c r="AN40" s="70"/>
      <c r="AO40" s="70"/>
      <c r="AP40" s="71"/>
      <c r="AQ40" s="379" t="s">
        <v>55</v>
      </c>
      <c r="AR40" s="33"/>
      <c r="AS40" s="106">
        <f>AU36</f>
        <v>4221282</v>
      </c>
      <c r="AT40" s="33"/>
      <c r="AU40" s="33"/>
      <c r="AV40" s="67"/>
      <c r="AW40" s="407" t="s">
        <v>55</v>
      </c>
      <c r="AX40" s="70"/>
      <c r="AY40" s="408">
        <f>BA36</f>
        <v>4580924</v>
      </c>
      <c r="AZ40" s="70"/>
      <c r="BA40" s="70"/>
      <c r="BB40" s="71"/>
      <c r="BC40" s="407" t="s">
        <v>55</v>
      </c>
      <c r="BD40" s="70"/>
      <c r="BE40" s="408">
        <f>BG36</f>
        <v>3731471</v>
      </c>
      <c r="BF40" s="70"/>
      <c r="BG40" s="70"/>
      <c r="BH40" s="71"/>
      <c r="BI40" s="407" t="s">
        <v>55</v>
      </c>
      <c r="BJ40" s="70"/>
      <c r="BK40" s="408">
        <f>BM36</f>
        <v>4891588</v>
      </c>
      <c r="BL40" s="70"/>
      <c r="BM40" s="70"/>
      <c r="BN40" s="71"/>
      <c r="BO40" s="407" t="s">
        <v>55</v>
      </c>
      <c r="BP40" s="70"/>
      <c r="BQ40" s="408">
        <f>BS36</f>
        <v>5311763</v>
      </c>
      <c r="BR40" s="70"/>
      <c r="BS40" s="70"/>
      <c r="BT40" s="71"/>
    </row>
    <row r="41" spans="1:72">
      <c r="A41" s="379" t="s">
        <v>56</v>
      </c>
      <c r="B41" s="33"/>
      <c r="C41" s="106">
        <f>SUM(E18:E22)</f>
        <v>5217601.8</v>
      </c>
      <c r="D41" s="100"/>
      <c r="E41" s="100"/>
      <c r="F41" s="105"/>
      <c r="G41" s="379" t="s">
        <v>56</v>
      </c>
      <c r="H41" s="33"/>
      <c r="I41" s="106">
        <f>SUM(K18:K22)</f>
        <v>5216635</v>
      </c>
      <c r="J41" s="33"/>
      <c r="K41" s="33"/>
      <c r="L41" s="67"/>
      <c r="M41" s="379" t="s">
        <v>56</v>
      </c>
      <c r="N41" s="33"/>
      <c r="O41" s="106">
        <f>SUM(Q18:Q22)</f>
        <v>4263369</v>
      </c>
      <c r="P41" s="33"/>
      <c r="Q41" s="33"/>
      <c r="R41" s="67"/>
      <c r="S41" s="379" t="s">
        <v>56</v>
      </c>
      <c r="T41" s="33"/>
      <c r="U41" s="106">
        <f>SUM(W18:W22)</f>
        <v>4318767</v>
      </c>
      <c r="V41" s="33"/>
      <c r="W41" s="33"/>
      <c r="X41" s="67"/>
      <c r="Y41" s="379" t="s">
        <v>56</v>
      </c>
      <c r="Z41" s="33"/>
      <c r="AA41" s="106">
        <f>SUM(AC18:AC22)</f>
        <v>3967145</v>
      </c>
      <c r="AB41" s="33"/>
      <c r="AC41" s="33"/>
      <c r="AD41" s="67"/>
      <c r="AE41" s="379" t="s">
        <v>56</v>
      </c>
      <c r="AF41" s="33"/>
      <c r="AG41" s="106">
        <f>SUM(AI18:AI22)</f>
        <v>4486038</v>
      </c>
      <c r="AH41" s="33"/>
      <c r="AI41" s="33"/>
      <c r="AJ41" s="67"/>
      <c r="AK41" s="379" t="s">
        <v>56</v>
      </c>
      <c r="AL41" s="33"/>
      <c r="AM41" s="106">
        <f>SUM(AO18:AO22)</f>
        <v>4271857</v>
      </c>
      <c r="AN41" s="33"/>
      <c r="AO41" s="33"/>
      <c r="AP41" s="67"/>
      <c r="AQ41" s="379" t="s">
        <v>56</v>
      </c>
      <c r="AR41" s="33"/>
      <c r="AS41" s="106">
        <f>SUM(AU18:AU22)</f>
        <v>4968230</v>
      </c>
      <c r="AT41" s="33"/>
      <c r="AU41" s="33"/>
      <c r="AV41" s="67"/>
      <c r="AW41" s="379" t="s">
        <v>56</v>
      </c>
      <c r="AX41" s="33"/>
      <c r="AY41" s="106">
        <f>SUM(BA18:BA22)</f>
        <v>4766670</v>
      </c>
      <c r="AZ41" s="33"/>
      <c r="BA41" s="33"/>
      <c r="BB41" s="67"/>
      <c r="BC41" s="379" t="s">
        <v>56</v>
      </c>
      <c r="BD41" s="33"/>
      <c r="BE41" s="106">
        <f>SUM(BG18:BG22)</f>
        <v>4121616</v>
      </c>
      <c r="BF41" s="33"/>
      <c r="BG41" s="33"/>
      <c r="BH41" s="67"/>
      <c r="BI41" s="379" t="s">
        <v>56</v>
      </c>
      <c r="BJ41" s="33"/>
      <c r="BK41" s="106">
        <f>SUM(BM18:BM22)</f>
        <v>4044952</v>
      </c>
      <c r="BL41" s="33"/>
      <c r="BM41" s="33"/>
      <c r="BN41" s="67"/>
      <c r="BO41" s="379" t="s">
        <v>56</v>
      </c>
      <c r="BP41" s="33"/>
      <c r="BQ41" s="106">
        <f>SUM(BS18:BS22)</f>
        <v>4113682</v>
      </c>
      <c r="BR41" s="33"/>
      <c r="BS41" s="33"/>
      <c r="BT41" s="67"/>
    </row>
    <row r="42" spans="1:72">
      <c r="A42" s="379" t="s">
        <v>57</v>
      </c>
      <c r="B42" s="33"/>
      <c r="C42" s="106">
        <f>SUM(E23)</f>
        <v>973870</v>
      </c>
      <c r="D42" s="100"/>
      <c r="E42" s="100"/>
      <c r="F42" s="105"/>
      <c r="G42" s="379" t="s">
        <v>57</v>
      </c>
      <c r="H42" s="33"/>
      <c r="I42" s="106">
        <f>SUM(K23)</f>
        <v>998470</v>
      </c>
      <c r="J42" s="33"/>
      <c r="K42" s="33"/>
      <c r="L42" s="67"/>
      <c r="M42" s="379" t="s">
        <v>57</v>
      </c>
      <c r="N42" s="33"/>
      <c r="O42" s="106">
        <f>SUM(Q23)</f>
        <v>829270</v>
      </c>
      <c r="P42" s="33"/>
      <c r="Q42" s="33"/>
      <c r="R42" s="67"/>
      <c r="S42" s="379" t="s">
        <v>57</v>
      </c>
      <c r="T42" s="33"/>
      <c r="U42" s="106">
        <f>SUM(W23)</f>
        <v>889990</v>
      </c>
      <c r="V42" s="33"/>
      <c r="W42" s="33"/>
      <c r="X42" s="67"/>
      <c r="Y42" s="379" t="s">
        <v>57</v>
      </c>
      <c r="Z42" s="33"/>
      <c r="AA42" s="106">
        <f>SUM(AC23)</f>
        <v>856270</v>
      </c>
      <c r="AB42" s="33"/>
      <c r="AC42" s="33"/>
      <c r="AD42" s="67"/>
      <c r="AE42" s="379" t="s">
        <v>57</v>
      </c>
      <c r="AF42" s="33"/>
      <c r="AG42" s="106">
        <f>SUM(AI23)</f>
        <v>1001470</v>
      </c>
      <c r="AH42" s="33"/>
      <c r="AI42" s="33"/>
      <c r="AJ42" s="67"/>
      <c r="AK42" s="379" t="s">
        <v>57</v>
      </c>
      <c r="AL42" s="33"/>
      <c r="AM42" s="106">
        <f>SUM(AO23)</f>
        <v>991510</v>
      </c>
      <c r="AN42" s="33"/>
      <c r="AO42" s="33"/>
      <c r="AP42" s="67"/>
      <c r="AQ42" s="379" t="s">
        <v>57</v>
      </c>
      <c r="AR42" s="33"/>
      <c r="AS42" s="106">
        <f>SUM(AU23)</f>
        <v>1036750</v>
      </c>
      <c r="AT42" s="33"/>
      <c r="AU42" s="33"/>
      <c r="AV42" s="67"/>
      <c r="AW42" s="379" t="s">
        <v>57</v>
      </c>
      <c r="AX42" s="33"/>
      <c r="AY42" s="106">
        <f>SUM(BA23)</f>
        <v>1030270</v>
      </c>
      <c r="AZ42" s="33"/>
      <c r="BA42" s="33"/>
      <c r="BB42" s="67"/>
      <c r="BC42" s="379" t="s">
        <v>57</v>
      </c>
      <c r="BD42" s="33"/>
      <c r="BE42" s="106">
        <f>SUM(BG23)</f>
        <v>920229</v>
      </c>
      <c r="BF42" s="33"/>
      <c r="BG42" s="33"/>
      <c r="BH42" s="67"/>
      <c r="BI42" s="379" t="s">
        <v>57</v>
      </c>
      <c r="BJ42" s="33"/>
      <c r="BK42" s="106">
        <f>SUM(BM23)</f>
        <v>902590</v>
      </c>
      <c r="BL42" s="33"/>
      <c r="BM42" s="33"/>
      <c r="BN42" s="67"/>
      <c r="BO42" s="379" t="s">
        <v>57</v>
      </c>
      <c r="BP42" s="33"/>
      <c r="BQ42" s="106">
        <f>SUM(BS23)</f>
        <v>923110</v>
      </c>
      <c r="BR42" s="33"/>
      <c r="BS42" s="33"/>
      <c r="BT42" s="67"/>
    </row>
    <row r="43" spans="1:72">
      <c r="A43" s="379" t="s">
        <v>772</v>
      </c>
      <c r="B43" s="33"/>
      <c r="C43" s="106">
        <f>SUM(E24,E26,E27,E30)</f>
        <v>494611</v>
      </c>
      <c r="D43" s="100"/>
      <c r="E43" s="100"/>
      <c r="F43" s="105"/>
      <c r="G43" s="379" t="s">
        <v>772</v>
      </c>
      <c r="H43" s="33"/>
      <c r="I43" s="106">
        <f>SUM(K24,K26,K27,K30)</f>
        <v>616687.23</v>
      </c>
      <c r="J43" s="33"/>
      <c r="K43" s="33"/>
      <c r="L43" s="67"/>
      <c r="M43" s="379" t="s">
        <v>772</v>
      </c>
      <c r="N43" s="33"/>
      <c r="O43" s="106">
        <f>SUM(Q24,Q26,Q27,Q30)</f>
        <v>544407.92000000004</v>
      </c>
      <c r="P43" s="33"/>
      <c r="Q43" s="33"/>
      <c r="R43" s="67"/>
      <c r="S43" s="379" t="s">
        <v>772</v>
      </c>
      <c r="T43" s="33"/>
      <c r="U43" s="106">
        <f>SUM(W24,W26,W27,W30)</f>
        <v>568863.22</v>
      </c>
      <c r="V43" s="33"/>
      <c r="W43" s="33"/>
      <c r="X43" s="67"/>
      <c r="Y43" s="379" t="s">
        <v>772</v>
      </c>
      <c r="Z43" s="33"/>
      <c r="AA43" s="106">
        <f>SUM(AC24,AC26,AC27,AC30)</f>
        <v>542202.04</v>
      </c>
      <c r="AB43" s="33"/>
      <c r="AC43" s="33"/>
      <c r="AD43" s="67"/>
      <c r="AE43" s="379" t="s">
        <v>772</v>
      </c>
      <c r="AF43" s="33"/>
      <c r="AG43" s="106">
        <f>SUM(AI24,AI26,AI27,AI30)</f>
        <v>611131.31999999995</v>
      </c>
      <c r="AH43" s="33"/>
      <c r="AI43" s="33"/>
      <c r="AJ43" s="67"/>
      <c r="AK43" s="379" t="s">
        <v>772</v>
      </c>
      <c r="AL43" s="33"/>
      <c r="AM43" s="106">
        <f>SUM(AO24,AO26,AO27,AO30)</f>
        <v>452516.33999999997</v>
      </c>
      <c r="AN43" s="33"/>
      <c r="AO43" s="33"/>
      <c r="AP43" s="67"/>
      <c r="AQ43" s="379" t="s">
        <v>772</v>
      </c>
      <c r="AR43" s="33"/>
      <c r="AS43" s="106">
        <f>SUM(AU24,AU26,AU27,AU30)</f>
        <v>568808.24</v>
      </c>
      <c r="AT43" s="33"/>
      <c r="AU43" s="33"/>
      <c r="AV43" s="67"/>
      <c r="AW43" s="379" t="s">
        <v>772</v>
      </c>
      <c r="AX43" s="33"/>
      <c r="AY43" s="106">
        <f>SUM(BA24,BA26,BA27,BA30)</f>
        <v>651666.54</v>
      </c>
      <c r="AZ43" s="33"/>
      <c r="BA43" s="33"/>
      <c r="BB43" s="67"/>
      <c r="BC43" s="379" t="s">
        <v>772</v>
      </c>
      <c r="BD43" s="33"/>
      <c r="BE43" s="106">
        <f>SUM(BG24,BG26,BG27,BG30)</f>
        <v>590482.98</v>
      </c>
      <c r="BF43" s="33"/>
      <c r="BG43" s="33"/>
      <c r="BH43" s="67"/>
      <c r="BI43" s="379" t="s">
        <v>772</v>
      </c>
      <c r="BJ43" s="33"/>
      <c r="BK43" s="106">
        <f>SUM(BM24,BM26,BM27,BM30)</f>
        <v>601854.61</v>
      </c>
      <c r="BL43" s="33"/>
      <c r="BM43" s="33"/>
      <c r="BN43" s="67"/>
      <c r="BO43" s="379" t="s">
        <v>772</v>
      </c>
      <c r="BP43" s="33"/>
      <c r="BQ43" s="106">
        <f>SUM(BS24,BS26,BS27,BS30)</f>
        <v>543827.37</v>
      </c>
      <c r="BR43" s="33"/>
      <c r="BS43" s="33"/>
      <c r="BT43" s="67"/>
    </row>
    <row r="44" spans="1:72">
      <c r="A44" s="380" t="s">
        <v>771</v>
      </c>
      <c r="B44" s="45"/>
      <c r="C44" s="387">
        <f>E25</f>
        <v>33354</v>
      </c>
      <c r="D44" s="109"/>
      <c r="E44" s="109"/>
      <c r="F44" s="388"/>
      <c r="G44" s="380" t="s">
        <v>771</v>
      </c>
      <c r="H44" s="45"/>
      <c r="I44" s="387">
        <f>K25</f>
        <v>33932</v>
      </c>
      <c r="J44" s="45"/>
      <c r="K44" s="45"/>
      <c r="L44" s="69"/>
      <c r="M44" s="380" t="s">
        <v>771</v>
      </c>
      <c r="N44" s="45"/>
      <c r="O44" s="387">
        <f>Q25</f>
        <v>41688</v>
      </c>
      <c r="P44" s="45"/>
      <c r="Q44" s="45"/>
      <c r="R44" s="69"/>
      <c r="S44" s="380" t="s">
        <v>771</v>
      </c>
      <c r="T44" s="45"/>
      <c r="U44" s="387">
        <f>W25</f>
        <v>5668</v>
      </c>
      <c r="V44" s="45"/>
      <c r="W44" s="45"/>
      <c r="X44" s="69"/>
      <c r="Y44" s="380" t="s">
        <v>771</v>
      </c>
      <c r="Z44" s="45"/>
      <c r="AA44" s="387">
        <f>AC25</f>
        <v>18339</v>
      </c>
      <c r="AB44" s="45"/>
      <c r="AC44" s="45"/>
      <c r="AD44" s="69"/>
      <c r="AE44" s="380" t="s">
        <v>771</v>
      </c>
      <c r="AF44" s="45"/>
      <c r="AG44" s="387">
        <f>AI25</f>
        <v>23856</v>
      </c>
      <c r="AH44" s="45"/>
      <c r="AI44" s="45"/>
      <c r="AJ44" s="69"/>
      <c r="AK44" s="380" t="s">
        <v>771</v>
      </c>
      <c r="AL44" s="45"/>
      <c r="AM44" s="387">
        <f>AO25</f>
        <v>20329</v>
      </c>
      <c r="AN44" s="45"/>
      <c r="AO44" s="45"/>
      <c r="AP44" s="69"/>
      <c r="AQ44" s="380" t="s">
        <v>771</v>
      </c>
      <c r="AR44" s="45"/>
      <c r="AS44" s="387">
        <f>AU25</f>
        <v>20040</v>
      </c>
      <c r="AT44" s="45"/>
      <c r="AU44" s="45"/>
      <c r="AV44" s="69"/>
      <c r="AW44" s="380" t="s">
        <v>771</v>
      </c>
      <c r="AX44" s="45"/>
      <c r="AY44" s="387">
        <f>BA25</f>
        <v>22784</v>
      </c>
      <c r="AZ44" s="45"/>
      <c r="BA44" s="45"/>
      <c r="BB44" s="69"/>
      <c r="BC44" s="380" t="s">
        <v>771</v>
      </c>
      <c r="BD44" s="45"/>
      <c r="BE44" s="387">
        <f>BG25</f>
        <v>17611</v>
      </c>
      <c r="BF44" s="45"/>
      <c r="BG44" s="45"/>
      <c r="BH44" s="69"/>
      <c r="BI44" s="380" t="s">
        <v>771</v>
      </c>
      <c r="BJ44" s="45"/>
      <c r="BK44" s="387">
        <f>BM25</f>
        <v>23101</v>
      </c>
      <c r="BL44" s="45"/>
      <c r="BM44" s="45"/>
      <c r="BN44" s="69"/>
      <c r="BO44" s="380" t="s">
        <v>771</v>
      </c>
      <c r="BP44" s="45"/>
      <c r="BQ44" s="387">
        <f>BS25</f>
        <v>25411</v>
      </c>
      <c r="BR44" s="45"/>
      <c r="BS44" s="45"/>
      <c r="BT44" s="69"/>
    </row>
    <row r="45" spans="1:72">
      <c r="A45" s="473" t="s">
        <v>966</v>
      </c>
      <c r="B45" s="70"/>
      <c r="C45" s="71"/>
      <c r="D45" s="91"/>
      <c r="E45" s="91"/>
      <c r="F45" s="91"/>
    </row>
    <row r="46" spans="1:72">
      <c r="A46" s="474" t="s">
        <v>55</v>
      </c>
      <c r="B46" s="33"/>
      <c r="C46" s="308">
        <f>SUM(C40,I40,O40,U40,AA40,AG40,AM40,AS40,AY40,BE40,BK40,BQ40)</f>
        <v>56485748</v>
      </c>
    </row>
    <row r="47" spans="1:72">
      <c r="A47" s="474" t="s">
        <v>56</v>
      </c>
      <c r="B47" s="33"/>
      <c r="C47" s="308">
        <f>SUM(C41,I41,O41,U41,AA41,AG41,AM41,AS41,AY41,BE41,BK41,BQ41)</f>
        <v>53756562.799999997</v>
      </c>
    </row>
    <row r="48" spans="1:72">
      <c r="A48" s="474" t="s">
        <v>57</v>
      </c>
      <c r="B48" s="33"/>
      <c r="C48" s="308">
        <f t="shared" ref="C48:C50" si="0">SUM(C42,I42,O42,U42,AA42,AG42,AM42,AS42,AY42,BE42,BK42,BQ42)</f>
        <v>11353799</v>
      </c>
    </row>
    <row r="49" spans="1:3">
      <c r="A49" s="474" t="s">
        <v>772</v>
      </c>
      <c r="B49" s="33"/>
      <c r="C49" s="308">
        <f t="shared" si="0"/>
        <v>6787058.8100000005</v>
      </c>
    </row>
    <row r="50" spans="1:3">
      <c r="A50" s="475" t="s">
        <v>771</v>
      </c>
      <c r="B50" s="45"/>
      <c r="C50" s="476">
        <f t="shared" si="0"/>
        <v>286113</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H1"/>
  <sheetViews>
    <sheetView workbookViewId="0">
      <selection activeCell="H5" sqref="H5"/>
    </sheetView>
  </sheetViews>
  <sheetFormatPr defaultRowHeight="15"/>
  <cols>
    <col min="1" max="6" width="14.140625" bestFit="1" customWidth="1"/>
  </cols>
  <sheetData>
    <row r="1" spans="1:8" s="697" customFormat="1">
      <c r="A1" s="518" t="s">
        <v>2253</v>
      </c>
      <c r="B1" s="899"/>
      <c r="C1" s="73"/>
      <c r="D1" s="73"/>
      <c r="E1" s="73"/>
      <c r="F1" s="73"/>
      <c r="G1" s="883"/>
      <c r="H1" s="707"/>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dimension ref="A1:Z51"/>
  <sheetViews>
    <sheetView topLeftCell="H10" workbookViewId="0">
      <selection activeCell="A16" sqref="A16:Z18"/>
    </sheetView>
  </sheetViews>
  <sheetFormatPr defaultRowHeight="12.75"/>
  <cols>
    <col min="1" max="1" width="42.28515625" style="186" bestFit="1" customWidth="1"/>
    <col min="2" max="4" width="14.140625" style="186" bestFit="1" customWidth="1"/>
    <col min="5" max="5" width="15.85546875" style="186" customWidth="1"/>
    <col min="6" max="7" width="14.140625" style="186" bestFit="1" customWidth="1"/>
    <col min="8" max="16384" width="9.140625" style="186"/>
  </cols>
  <sheetData>
    <row r="1" spans="1:26" s="697" customFormat="1" ht="15">
      <c r="A1" s="518" t="s">
        <v>2266</v>
      </c>
      <c r="B1" s="899"/>
      <c r="C1" s="73"/>
      <c r="D1" s="73"/>
      <c r="E1" s="883"/>
      <c r="F1" s="707"/>
      <c r="G1" s="707"/>
      <c r="H1" s="707"/>
    </row>
    <row r="3" spans="1:26" ht="318" customHeight="1"/>
    <row r="4" spans="1:26" ht="16.5" thickBot="1">
      <c r="A4" s="1192" t="s">
        <v>785</v>
      </c>
      <c r="B4" s="1192"/>
      <c r="C4" s="1192"/>
      <c r="D4" s="1192"/>
      <c r="E4" s="1192"/>
      <c r="F4" s="1192"/>
      <c r="G4" s="1192"/>
      <c r="H4" s="1192"/>
      <c r="I4" s="1192"/>
      <c r="J4" s="1192"/>
      <c r="K4" s="1192"/>
      <c r="L4" s="1192"/>
      <c r="M4" s="1192"/>
      <c r="N4" s="1192"/>
      <c r="O4" s="1192"/>
      <c r="P4" s="1192"/>
      <c r="Q4" s="1192"/>
      <c r="R4" s="1192"/>
      <c r="S4" s="1192"/>
      <c r="T4" s="1192"/>
      <c r="U4" s="1192"/>
      <c r="V4" s="1192"/>
      <c r="W4" s="1192"/>
      <c r="X4" s="1192"/>
      <c r="Y4" s="1192"/>
      <c r="Z4" s="1192"/>
    </row>
    <row r="5" spans="1:26" s="189" customFormat="1" ht="16.5">
      <c r="A5" s="187"/>
      <c r="B5" s="187">
        <v>1980</v>
      </c>
      <c r="C5" s="187">
        <v>1985</v>
      </c>
      <c r="D5" s="187">
        <v>1990</v>
      </c>
      <c r="E5" s="187">
        <v>1991</v>
      </c>
      <c r="F5" s="187">
        <v>1992</v>
      </c>
      <c r="G5" s="187">
        <v>1993</v>
      </c>
      <c r="H5" s="187">
        <v>1994</v>
      </c>
      <c r="I5" s="187">
        <v>1995</v>
      </c>
      <c r="J5" s="187">
        <v>1996</v>
      </c>
      <c r="K5" s="187">
        <v>1997</v>
      </c>
      <c r="L5" s="187">
        <v>1998</v>
      </c>
      <c r="M5" s="187">
        <v>1999</v>
      </c>
      <c r="N5" s="188">
        <v>2000</v>
      </c>
      <c r="O5" s="188">
        <v>2001</v>
      </c>
      <c r="P5" s="188">
        <v>2002</v>
      </c>
      <c r="Q5" s="188">
        <v>2003</v>
      </c>
      <c r="R5" s="188">
        <v>2004</v>
      </c>
      <c r="S5" s="188">
        <v>2005</v>
      </c>
      <c r="T5" s="188">
        <v>2006</v>
      </c>
      <c r="U5" s="188">
        <v>2007</v>
      </c>
      <c r="V5" s="188">
        <v>2008</v>
      </c>
      <c r="W5" s="188">
        <v>2009</v>
      </c>
      <c r="X5" s="188">
        <v>2010</v>
      </c>
      <c r="Y5" s="188">
        <v>2011</v>
      </c>
      <c r="Z5" s="188">
        <v>2012</v>
      </c>
    </row>
    <row r="6" spans="1:26" ht="34.5" customHeight="1">
      <c r="A6" s="190" t="s">
        <v>786</v>
      </c>
      <c r="B6" s="191"/>
      <c r="C6" s="191"/>
      <c r="D6" s="191"/>
      <c r="E6" s="191"/>
      <c r="F6" s="191"/>
      <c r="G6" s="191"/>
      <c r="H6" s="191"/>
      <c r="I6" s="191"/>
      <c r="J6" s="191"/>
      <c r="K6" s="191"/>
      <c r="L6" s="191"/>
      <c r="M6" s="191"/>
      <c r="N6" s="192"/>
      <c r="O6" s="192"/>
      <c r="P6" s="192"/>
      <c r="Q6" s="192"/>
      <c r="R6" s="192"/>
      <c r="S6" s="192"/>
      <c r="T6" s="192"/>
      <c r="U6" s="192"/>
      <c r="V6" s="192"/>
      <c r="W6" s="192"/>
      <c r="X6" s="192"/>
    </row>
    <row r="7" spans="1:26" ht="18">
      <c r="A7" s="193" t="s">
        <v>787</v>
      </c>
      <c r="B7" s="194">
        <v>15.983485209256079</v>
      </c>
      <c r="C7" s="194">
        <v>17.515865604612728</v>
      </c>
      <c r="D7" s="194">
        <v>20.324466118928257</v>
      </c>
      <c r="E7" s="194">
        <v>21.199051639303363</v>
      </c>
      <c r="F7" s="194">
        <v>21.045125755196853</v>
      </c>
      <c r="G7" s="194">
        <v>20.590440598375299</v>
      </c>
      <c r="H7" s="194">
        <v>20.804309761425465</v>
      </c>
      <c r="I7" s="194">
        <v>21.128875353245995</v>
      </c>
      <c r="J7" s="194">
        <v>21.234214226373929</v>
      </c>
      <c r="K7" s="194">
        <v>21.5</v>
      </c>
      <c r="L7" s="194">
        <v>21.613375686842645</v>
      </c>
      <c r="M7" s="194">
        <v>21.411535595460045</v>
      </c>
      <c r="N7" s="194">
        <v>21.902175382844323</v>
      </c>
      <c r="O7" s="194">
        <v>22.136470705948263</v>
      </c>
      <c r="P7" s="194">
        <v>21.974908646679772</v>
      </c>
      <c r="Q7" s="194">
        <v>22.160056474630601</v>
      </c>
      <c r="R7" s="194">
        <v>22.544398515672704</v>
      </c>
      <c r="S7" s="194">
        <v>22.067355091809322</v>
      </c>
      <c r="T7" s="194">
        <v>22.537768096638615</v>
      </c>
      <c r="U7" s="194">
        <v>22.865639407597879</v>
      </c>
      <c r="V7" s="194">
        <v>23.654817692277319</v>
      </c>
      <c r="W7" s="195">
        <v>23.532242432153808</v>
      </c>
      <c r="X7" s="194">
        <v>23.485463323759976</v>
      </c>
      <c r="Y7" s="194" t="s">
        <v>788</v>
      </c>
      <c r="Z7" s="194" t="s">
        <v>788</v>
      </c>
    </row>
    <row r="8" spans="1:26" ht="18">
      <c r="A8" s="196" t="s">
        <v>789</v>
      </c>
      <c r="B8" s="197">
        <v>12.226113712020926</v>
      </c>
      <c r="C8" s="197">
        <v>14.287840022769533</v>
      </c>
      <c r="D8" s="197">
        <v>16.134620950781546</v>
      </c>
      <c r="E8" s="197">
        <v>16.992322720984472</v>
      </c>
      <c r="F8" s="197">
        <v>17.270284553598483</v>
      </c>
      <c r="G8" s="197">
        <v>17.403240956388242</v>
      </c>
      <c r="H8" s="197">
        <v>17.333758029999402</v>
      </c>
      <c r="I8" s="197">
        <v>17.32348620428797</v>
      </c>
      <c r="J8" s="197">
        <v>17.24330573856767</v>
      </c>
      <c r="K8" s="197">
        <v>17.200000256299973</v>
      </c>
      <c r="L8" s="197">
        <v>17.206426586210483</v>
      </c>
      <c r="M8" s="197">
        <v>17.045741328621229</v>
      </c>
      <c r="N8" s="197">
        <v>17.436339940049649</v>
      </c>
      <c r="O8" s="197">
        <v>17.622862736948161</v>
      </c>
      <c r="P8" s="197">
        <v>17.494243220241437</v>
      </c>
      <c r="Q8" s="197">
        <v>16.196939606414382</v>
      </c>
      <c r="R8" s="197">
        <v>16.196939606414379</v>
      </c>
      <c r="S8" s="197">
        <v>17.684178534519752</v>
      </c>
      <c r="T8" s="197">
        <v>17.837785262306351</v>
      </c>
      <c r="U8" s="197">
        <v>17.073137862941504</v>
      </c>
      <c r="V8" s="197">
        <v>17.336446788414928</v>
      </c>
      <c r="W8" s="195">
        <v>17.292756750601264</v>
      </c>
      <c r="X8" s="197">
        <v>17.221491053577871</v>
      </c>
      <c r="Y8" s="197" t="s">
        <v>788</v>
      </c>
      <c r="Z8" s="197" t="s">
        <v>788</v>
      </c>
    </row>
    <row r="9" spans="1:26" ht="18">
      <c r="A9" s="198" t="s">
        <v>790</v>
      </c>
      <c r="B9" s="197"/>
      <c r="C9" s="197"/>
      <c r="D9" s="197"/>
      <c r="E9" s="197"/>
      <c r="F9" s="197"/>
      <c r="G9" s="197"/>
      <c r="H9" s="197"/>
      <c r="I9" s="197"/>
      <c r="J9" s="197"/>
      <c r="K9" s="197"/>
      <c r="L9" s="197"/>
      <c r="M9" s="197"/>
      <c r="N9" s="192"/>
      <c r="O9" s="192"/>
      <c r="P9" s="192"/>
      <c r="Q9" s="192"/>
      <c r="R9" s="192"/>
      <c r="S9" s="192"/>
      <c r="T9" s="192"/>
      <c r="U9" s="192"/>
      <c r="V9" s="192"/>
      <c r="W9" s="192"/>
      <c r="X9" s="192"/>
    </row>
    <row r="10" spans="1:26" ht="16.5">
      <c r="A10" s="196" t="s">
        <v>791</v>
      </c>
      <c r="B10" s="197"/>
      <c r="C10" s="197"/>
      <c r="D10" s="197"/>
      <c r="E10" s="197"/>
      <c r="F10" s="197"/>
      <c r="G10" s="197"/>
      <c r="H10" s="197"/>
      <c r="I10" s="197"/>
      <c r="J10" s="197"/>
      <c r="K10" s="197"/>
      <c r="L10" s="197"/>
      <c r="M10" s="197"/>
      <c r="N10" s="192"/>
      <c r="O10" s="192"/>
      <c r="P10" s="192"/>
      <c r="Q10" s="192"/>
      <c r="R10" s="192"/>
      <c r="S10" s="192"/>
      <c r="T10" s="192"/>
      <c r="U10" s="192"/>
      <c r="V10" s="192"/>
      <c r="W10" s="192"/>
      <c r="X10" s="192"/>
    </row>
    <row r="11" spans="1:26" ht="16.5">
      <c r="A11" s="199" t="s">
        <v>792</v>
      </c>
      <c r="B11" s="197">
        <v>24.3</v>
      </c>
      <c r="C11" s="197">
        <v>27.6</v>
      </c>
      <c r="D11" s="197">
        <v>28</v>
      </c>
      <c r="E11" s="197">
        <v>28.4</v>
      </c>
      <c r="F11" s="197">
        <v>27.9</v>
      </c>
      <c r="G11" s="197">
        <v>28.4</v>
      </c>
      <c r="H11" s="197">
        <v>28.3</v>
      </c>
      <c r="I11" s="197">
        <v>28.6</v>
      </c>
      <c r="J11" s="197">
        <v>28.5</v>
      </c>
      <c r="K11" s="197">
        <v>28.7</v>
      </c>
      <c r="L11" s="197">
        <v>28.8</v>
      </c>
      <c r="M11" s="197">
        <v>28.3</v>
      </c>
      <c r="N11" s="197">
        <v>28.5</v>
      </c>
      <c r="O11" s="200">
        <v>28.8</v>
      </c>
      <c r="P11" s="197">
        <v>29</v>
      </c>
      <c r="Q11" s="197">
        <v>29.5</v>
      </c>
      <c r="R11" s="197">
        <v>29.5</v>
      </c>
      <c r="S11" s="197">
        <v>30.3</v>
      </c>
      <c r="T11" s="197">
        <v>30.1</v>
      </c>
      <c r="U11" s="197">
        <v>31.2</v>
      </c>
      <c r="V11" s="197">
        <v>31.5</v>
      </c>
      <c r="W11" s="197">
        <v>32.9</v>
      </c>
      <c r="X11" s="197">
        <v>33.9</v>
      </c>
      <c r="Y11" s="197">
        <v>33.799999999999997</v>
      </c>
      <c r="Z11" s="197">
        <v>35.6</v>
      </c>
    </row>
    <row r="12" spans="1:26" ht="16.5">
      <c r="A12" s="201" t="s">
        <v>793</v>
      </c>
      <c r="B12" s="197">
        <v>22.6</v>
      </c>
      <c r="C12" s="197">
        <v>26.3</v>
      </c>
      <c r="D12" s="197">
        <v>26.9</v>
      </c>
      <c r="E12" s="197">
        <v>27.3</v>
      </c>
      <c r="F12" s="197">
        <v>27</v>
      </c>
      <c r="G12" s="197">
        <v>27.8</v>
      </c>
      <c r="H12" s="197">
        <v>27.5</v>
      </c>
      <c r="I12" s="197">
        <v>27.7</v>
      </c>
      <c r="J12" s="197">
        <v>28.1</v>
      </c>
      <c r="K12" s="197">
        <v>27.8</v>
      </c>
      <c r="L12" s="197">
        <v>28.6</v>
      </c>
      <c r="M12" s="197">
        <v>28</v>
      </c>
      <c r="N12" s="202">
        <v>28.7</v>
      </c>
      <c r="O12" s="200">
        <v>28.7</v>
      </c>
      <c r="P12" s="197">
        <v>29.1</v>
      </c>
      <c r="Q12" s="197">
        <v>29.1</v>
      </c>
      <c r="R12" s="197">
        <v>29.9</v>
      </c>
      <c r="S12" s="197">
        <v>30.5</v>
      </c>
      <c r="T12" s="197">
        <v>30.3</v>
      </c>
      <c r="U12" s="197">
        <v>30.6</v>
      </c>
      <c r="V12" s="197">
        <v>31.2</v>
      </c>
      <c r="W12" s="197">
        <v>32.1</v>
      </c>
      <c r="X12" s="197">
        <v>33.1</v>
      </c>
      <c r="Y12" s="197">
        <v>32.5</v>
      </c>
      <c r="Z12" s="197">
        <v>34.4</v>
      </c>
    </row>
    <row r="13" spans="1:26" ht="16.5">
      <c r="A13" s="201" t="s">
        <v>794</v>
      </c>
      <c r="B13" s="197">
        <v>29.6</v>
      </c>
      <c r="C13" s="197">
        <v>31.5</v>
      </c>
      <c r="D13" s="197">
        <v>29.9</v>
      </c>
      <c r="E13" s="197">
        <v>30.1</v>
      </c>
      <c r="F13" s="197">
        <v>29.2</v>
      </c>
      <c r="G13" s="197">
        <v>29.6</v>
      </c>
      <c r="H13" s="197">
        <v>29.7</v>
      </c>
      <c r="I13" s="197">
        <v>30.3</v>
      </c>
      <c r="J13" s="197">
        <v>29.6</v>
      </c>
      <c r="K13" s="197">
        <v>30.1</v>
      </c>
      <c r="L13" s="197">
        <v>29.2</v>
      </c>
      <c r="M13" s="197">
        <v>29</v>
      </c>
      <c r="N13" s="192">
        <v>28.3</v>
      </c>
      <c r="O13" s="200">
        <v>29</v>
      </c>
      <c r="P13" s="197">
        <v>28.8</v>
      </c>
      <c r="Q13" s="197">
        <v>29.9</v>
      </c>
      <c r="R13" s="197">
        <v>28.7</v>
      </c>
      <c r="S13" s="197">
        <v>29.9</v>
      </c>
      <c r="T13" s="197">
        <v>29.7</v>
      </c>
      <c r="U13" s="197">
        <v>32.200000000000003</v>
      </c>
      <c r="V13" s="197">
        <v>31.8</v>
      </c>
      <c r="W13" s="197">
        <v>33.799999999999997</v>
      </c>
      <c r="X13" s="197">
        <v>35.200000000000003</v>
      </c>
      <c r="Y13" s="197">
        <v>35.299999999999997</v>
      </c>
      <c r="Z13" s="197">
        <v>37.5</v>
      </c>
    </row>
    <row r="14" spans="1:26" ht="18">
      <c r="A14" s="196" t="s">
        <v>795</v>
      </c>
      <c r="B14" s="197">
        <v>18.5</v>
      </c>
      <c r="C14" s="197">
        <v>20.7</v>
      </c>
      <c r="D14" s="197">
        <v>20.8</v>
      </c>
      <c r="E14" s="197">
        <v>21.3</v>
      </c>
      <c r="F14" s="197">
        <v>20.8</v>
      </c>
      <c r="G14" s="197">
        <v>21</v>
      </c>
      <c r="H14" s="197">
        <v>20.8</v>
      </c>
      <c r="I14" s="197">
        <v>20.5</v>
      </c>
      <c r="J14" s="197">
        <v>20.8</v>
      </c>
      <c r="K14" s="197">
        <v>20.6</v>
      </c>
      <c r="L14" s="197">
        <v>21</v>
      </c>
      <c r="M14" s="197">
        <v>20.9</v>
      </c>
      <c r="N14" s="202">
        <v>21.3</v>
      </c>
      <c r="O14" s="197">
        <v>20.9</v>
      </c>
      <c r="P14" s="197">
        <v>21.4</v>
      </c>
      <c r="Q14" s="197">
        <v>21.8</v>
      </c>
      <c r="R14" s="197">
        <v>21.5</v>
      </c>
      <c r="S14" s="197">
        <v>22.1</v>
      </c>
      <c r="T14" s="197">
        <v>22.5</v>
      </c>
      <c r="U14" s="197">
        <v>23.1</v>
      </c>
      <c r="V14" s="197">
        <v>23.6</v>
      </c>
      <c r="W14" s="197">
        <v>24.8</v>
      </c>
      <c r="X14" s="197">
        <v>25.2</v>
      </c>
      <c r="Y14" s="197">
        <v>24.5</v>
      </c>
      <c r="Z14" s="197">
        <v>25</v>
      </c>
    </row>
    <row r="15" spans="1:26" ht="16.5">
      <c r="A15" s="196"/>
      <c r="B15" s="197"/>
      <c r="C15" s="197"/>
      <c r="D15" s="197"/>
      <c r="E15" s="197"/>
      <c r="F15" s="197"/>
      <c r="G15" s="197"/>
      <c r="H15" s="197"/>
      <c r="I15" s="197"/>
      <c r="J15" s="197"/>
      <c r="K15" s="197"/>
      <c r="L15" s="197"/>
      <c r="M15" s="197"/>
      <c r="N15" s="202"/>
      <c r="O15" s="197"/>
      <c r="P15" s="197"/>
      <c r="Q15" s="197"/>
      <c r="R15" s="197"/>
      <c r="S15" s="197"/>
      <c r="T15" s="197"/>
      <c r="U15" s="197"/>
      <c r="V15" s="197"/>
      <c r="W15" s="197"/>
      <c r="X15" s="197"/>
      <c r="Y15" s="197"/>
      <c r="Z15" s="197"/>
    </row>
    <row r="16" spans="1:26" ht="18">
      <c r="A16" s="198" t="s">
        <v>796</v>
      </c>
      <c r="B16" s="197"/>
      <c r="C16" s="197"/>
      <c r="D16" s="197"/>
      <c r="E16" s="197"/>
      <c r="F16" s="197"/>
      <c r="G16" s="197"/>
      <c r="H16" s="197"/>
      <c r="I16" s="197"/>
      <c r="J16" s="197"/>
      <c r="K16" s="197"/>
      <c r="L16" s="197"/>
      <c r="M16" s="197"/>
      <c r="N16" s="192"/>
      <c r="O16" s="192"/>
      <c r="P16" s="192"/>
      <c r="Q16" s="192"/>
      <c r="R16" s="192"/>
      <c r="S16" s="192"/>
      <c r="T16" s="192"/>
      <c r="U16" s="192"/>
      <c r="V16" s="192"/>
      <c r="W16" s="192"/>
      <c r="X16" s="192"/>
    </row>
    <row r="17" spans="1:26" ht="16.5">
      <c r="A17" s="196" t="s">
        <v>792</v>
      </c>
      <c r="B17" s="197">
        <v>20</v>
      </c>
      <c r="C17" s="197">
        <v>27.5</v>
      </c>
      <c r="D17" s="197">
        <v>27.5</v>
      </c>
      <c r="E17" s="197">
        <v>27.5</v>
      </c>
      <c r="F17" s="197">
        <v>27.5</v>
      </c>
      <c r="G17" s="197">
        <v>27.5</v>
      </c>
      <c r="H17" s="197">
        <v>27.5</v>
      </c>
      <c r="I17" s="197">
        <v>27.5</v>
      </c>
      <c r="J17" s="197">
        <v>27.5</v>
      </c>
      <c r="K17" s="197">
        <v>27.5</v>
      </c>
      <c r="L17" s="197">
        <v>27.5</v>
      </c>
      <c r="M17" s="197">
        <v>27.5</v>
      </c>
      <c r="N17" s="192">
        <v>27.5</v>
      </c>
      <c r="O17" s="197">
        <v>27.5</v>
      </c>
      <c r="P17" s="197">
        <v>27.5</v>
      </c>
      <c r="Q17" s="197">
        <v>27.5</v>
      </c>
      <c r="R17" s="197">
        <v>27.5</v>
      </c>
      <c r="S17" s="197">
        <v>27.5</v>
      </c>
      <c r="T17" s="197">
        <v>27.5</v>
      </c>
      <c r="U17" s="197">
        <v>27.5</v>
      </c>
      <c r="V17" s="197">
        <v>27.5</v>
      </c>
      <c r="W17" s="197">
        <v>27.5</v>
      </c>
      <c r="X17" s="197">
        <v>27.5</v>
      </c>
      <c r="Y17" s="195">
        <v>30.2</v>
      </c>
      <c r="Z17" s="197">
        <v>32.799999999999997</v>
      </c>
    </row>
    <row r="18" spans="1:26" ht="18.75" thickBot="1">
      <c r="A18" s="203" t="s">
        <v>797</v>
      </c>
      <c r="B18" s="204" t="s">
        <v>788</v>
      </c>
      <c r="C18" s="205">
        <v>19.5</v>
      </c>
      <c r="D18" s="205">
        <v>20</v>
      </c>
      <c r="E18" s="205">
        <v>20.2</v>
      </c>
      <c r="F18" s="205">
        <v>20.2</v>
      </c>
      <c r="G18" s="205">
        <v>20.399999999999999</v>
      </c>
      <c r="H18" s="205">
        <v>20.5</v>
      </c>
      <c r="I18" s="205">
        <v>20.6</v>
      </c>
      <c r="J18" s="205">
        <v>20.7</v>
      </c>
      <c r="K18" s="205">
        <v>20.7</v>
      </c>
      <c r="L18" s="205">
        <v>20.7</v>
      </c>
      <c r="M18" s="205">
        <v>20.7</v>
      </c>
      <c r="N18" s="206">
        <v>20.7</v>
      </c>
      <c r="O18" s="205">
        <v>20.7</v>
      </c>
      <c r="P18" s="205">
        <v>20.7</v>
      </c>
      <c r="Q18" s="205">
        <v>20.7</v>
      </c>
      <c r="R18" s="205">
        <v>20.7</v>
      </c>
      <c r="S18" s="205">
        <v>21</v>
      </c>
      <c r="T18" s="205">
        <v>21.6</v>
      </c>
      <c r="U18" s="205">
        <v>22.2</v>
      </c>
      <c r="V18" s="205">
        <v>22.5</v>
      </c>
      <c r="W18" s="205">
        <v>23.1</v>
      </c>
      <c r="X18" s="205">
        <v>23.5</v>
      </c>
      <c r="Y18" s="205">
        <v>24.2</v>
      </c>
      <c r="Z18" s="205">
        <v>25.2</v>
      </c>
    </row>
    <row r="19" spans="1:26" ht="16.5">
      <c r="A19" s="1193" t="s">
        <v>798</v>
      </c>
      <c r="B19" s="1194"/>
      <c r="C19" s="1194"/>
      <c r="D19" s="1194"/>
      <c r="E19" s="1194"/>
      <c r="F19" s="1194"/>
      <c r="G19" s="1194"/>
      <c r="H19" s="1194"/>
      <c r="I19" s="1194"/>
      <c r="J19" s="1194"/>
      <c r="K19" s="1194"/>
      <c r="L19" s="1194"/>
      <c r="M19" s="197"/>
      <c r="N19" s="207"/>
    </row>
    <row r="20" spans="1:26" ht="16.5">
      <c r="A20" s="1195"/>
      <c r="B20" s="1180"/>
      <c r="C20" s="1180"/>
      <c r="D20" s="1180"/>
      <c r="E20" s="1180"/>
      <c r="F20" s="1180"/>
      <c r="G20" s="1180"/>
      <c r="H20" s="1180"/>
      <c r="I20" s="1180"/>
      <c r="J20" s="1180"/>
      <c r="K20" s="1180"/>
      <c r="L20" s="1180"/>
      <c r="M20" s="197"/>
      <c r="N20" s="207"/>
    </row>
    <row r="21" spans="1:26" s="209" customFormat="1">
      <c r="A21" s="1196" t="s">
        <v>799</v>
      </c>
      <c r="B21" s="1196"/>
      <c r="C21" s="1196"/>
      <c r="D21" s="1196"/>
      <c r="E21" s="1196"/>
      <c r="F21" s="1196"/>
      <c r="G21" s="1196"/>
      <c r="H21" s="1196"/>
      <c r="I21" s="1196"/>
      <c r="J21" s="1196"/>
      <c r="K21" s="1196"/>
      <c r="L21" s="1196"/>
      <c r="M21" s="208"/>
    </row>
    <row r="22" spans="1:26">
      <c r="A22" s="1197" t="s">
        <v>800</v>
      </c>
      <c r="B22" s="1187"/>
      <c r="C22" s="1187"/>
      <c r="D22" s="1187"/>
      <c r="E22" s="1187"/>
      <c r="F22" s="1187"/>
      <c r="G22" s="1187"/>
      <c r="H22" s="1187"/>
      <c r="I22" s="1187"/>
      <c r="J22" s="1187"/>
      <c r="K22" s="1187"/>
      <c r="L22" s="1187"/>
      <c r="M22" s="210"/>
    </row>
    <row r="23" spans="1:26" ht="13.5">
      <c r="A23" s="1191" t="s">
        <v>801</v>
      </c>
      <c r="B23" s="1191"/>
      <c r="C23" s="1191"/>
      <c r="D23" s="1191"/>
      <c r="E23" s="1187"/>
      <c r="F23" s="1187"/>
      <c r="G23" s="1187"/>
      <c r="H23" s="1187"/>
      <c r="I23" s="1187"/>
      <c r="J23" s="1187"/>
      <c r="K23" s="1187"/>
      <c r="L23" s="1187"/>
      <c r="M23" s="210"/>
    </row>
    <row r="24" spans="1:26" ht="13.5">
      <c r="A24" s="1186" t="s">
        <v>802</v>
      </c>
      <c r="B24" s="1186"/>
      <c r="C24" s="1186"/>
      <c r="D24" s="1186"/>
      <c r="E24" s="1186"/>
      <c r="F24" s="1186"/>
      <c r="G24" s="1187"/>
      <c r="H24" s="1187"/>
      <c r="I24" s="1187"/>
      <c r="J24" s="1187"/>
      <c r="K24" s="1187"/>
      <c r="L24" s="1187"/>
      <c r="M24" s="210"/>
    </row>
    <row r="25" spans="1:26" ht="13.5">
      <c r="A25" s="1186" t="s">
        <v>803</v>
      </c>
      <c r="B25" s="1186"/>
      <c r="C25" s="1186"/>
      <c r="D25" s="1186"/>
      <c r="E25" s="1186"/>
      <c r="F25" s="1186"/>
      <c r="G25" s="1187"/>
      <c r="H25" s="1187"/>
      <c r="I25" s="1187"/>
      <c r="J25" s="1187"/>
      <c r="K25" s="1187"/>
      <c r="L25" s="1187"/>
      <c r="M25" s="210"/>
    </row>
    <row r="26" spans="1:26" ht="13.5">
      <c r="A26" s="1186"/>
      <c r="B26" s="1180"/>
      <c r="C26" s="1180"/>
      <c r="D26" s="1180"/>
      <c r="E26" s="1180"/>
      <c r="F26" s="1180"/>
      <c r="G26" s="1180"/>
      <c r="H26" s="1180"/>
      <c r="I26" s="1180"/>
      <c r="J26" s="1180"/>
      <c r="K26" s="1180"/>
      <c r="L26" s="1180"/>
      <c r="M26" s="210"/>
    </row>
    <row r="27" spans="1:26">
      <c r="A27" s="1188" t="s">
        <v>804</v>
      </c>
      <c r="B27" s="1180"/>
      <c r="C27" s="1180"/>
      <c r="D27" s="1180"/>
      <c r="E27" s="1180"/>
      <c r="F27" s="1180"/>
      <c r="G27" s="1180"/>
      <c r="H27" s="1180"/>
      <c r="I27" s="1180"/>
      <c r="J27" s="1180"/>
      <c r="K27" s="1180"/>
      <c r="L27" s="1180"/>
      <c r="M27" s="210"/>
    </row>
    <row r="28" spans="1:26">
      <c r="A28" s="1189" t="s">
        <v>805</v>
      </c>
      <c r="B28" s="1180"/>
      <c r="C28" s="1180"/>
      <c r="D28" s="1180"/>
      <c r="E28" s="1180"/>
      <c r="F28" s="1180"/>
      <c r="G28" s="1180"/>
      <c r="H28" s="1180"/>
      <c r="I28" s="1180"/>
      <c r="J28" s="1180"/>
      <c r="K28" s="1180"/>
      <c r="L28" s="1180"/>
      <c r="M28" s="210"/>
    </row>
    <row r="29" spans="1:26">
      <c r="A29" s="1189" t="s">
        <v>806</v>
      </c>
      <c r="B29" s="1180"/>
      <c r="C29" s="1180"/>
      <c r="D29" s="1180"/>
      <c r="E29" s="1180"/>
      <c r="F29" s="1180"/>
      <c r="G29" s="1180"/>
      <c r="H29" s="1180"/>
      <c r="I29" s="1180"/>
      <c r="J29" s="1180"/>
      <c r="K29" s="1180"/>
      <c r="L29" s="1180"/>
      <c r="M29" s="210"/>
    </row>
    <row r="30" spans="1:26">
      <c r="A30" s="1189"/>
      <c r="B30" s="1180"/>
      <c r="C30" s="1180"/>
      <c r="D30" s="1180"/>
      <c r="E30" s="1180"/>
      <c r="F30" s="1180"/>
      <c r="G30" s="1180"/>
      <c r="H30" s="1180"/>
      <c r="I30" s="1180"/>
      <c r="J30" s="1180"/>
      <c r="K30" s="1180"/>
      <c r="L30" s="1180"/>
      <c r="M30" s="210"/>
    </row>
    <row r="31" spans="1:26">
      <c r="A31" s="1190" t="s">
        <v>807</v>
      </c>
      <c r="B31" s="1190"/>
      <c r="C31" s="1190"/>
      <c r="D31" s="1190"/>
      <c r="E31" s="1190"/>
      <c r="F31" s="1190"/>
      <c r="G31" s="1180"/>
      <c r="H31" s="1180"/>
      <c r="I31" s="1180"/>
      <c r="J31" s="1180"/>
      <c r="K31" s="1180"/>
      <c r="L31" s="1180"/>
      <c r="M31" s="210"/>
    </row>
    <row r="32" spans="1:26" s="211" customFormat="1">
      <c r="A32" s="1181" t="s">
        <v>808</v>
      </c>
      <c r="B32" s="1181"/>
      <c r="C32" s="1181"/>
      <c r="D32" s="1181"/>
      <c r="E32" s="1181"/>
      <c r="F32" s="1181"/>
      <c r="G32" s="1180"/>
      <c r="H32" s="1180"/>
      <c r="I32" s="1180"/>
      <c r="J32" s="1180"/>
      <c r="K32" s="1180"/>
      <c r="L32" s="1180"/>
      <c r="M32" s="210"/>
    </row>
    <row r="33" spans="1:24" s="212" customFormat="1">
      <c r="A33" s="1184" t="s">
        <v>809</v>
      </c>
      <c r="B33" s="1184"/>
      <c r="C33" s="1184"/>
      <c r="D33" s="1184"/>
      <c r="E33" s="1184"/>
      <c r="F33" s="1184"/>
      <c r="G33" s="1184"/>
      <c r="H33" s="1184"/>
      <c r="I33" s="1184"/>
      <c r="J33" s="1184"/>
      <c r="K33" s="1179"/>
      <c r="L33" s="1180"/>
      <c r="M33" s="210"/>
    </row>
    <row r="34" spans="1:24" s="211" customFormat="1">
      <c r="A34" s="1182" t="s">
        <v>810</v>
      </c>
      <c r="B34" s="1182"/>
      <c r="C34" s="1182"/>
      <c r="D34" s="1182"/>
      <c r="E34" s="1179"/>
      <c r="F34" s="1179"/>
      <c r="G34" s="1179"/>
      <c r="H34" s="1179"/>
      <c r="I34" s="1179"/>
      <c r="J34" s="1179"/>
      <c r="K34" s="1179"/>
      <c r="L34" s="1180"/>
      <c r="M34" s="210"/>
    </row>
    <row r="35" spans="1:24" s="211" customFormat="1">
      <c r="A35" s="1178" t="s">
        <v>811</v>
      </c>
      <c r="B35" s="1178"/>
      <c r="C35" s="1178"/>
      <c r="D35" s="1178"/>
      <c r="E35" s="1178"/>
      <c r="F35" s="1178"/>
      <c r="G35" s="1178"/>
      <c r="H35" s="1178"/>
      <c r="I35" s="1178"/>
      <c r="J35" s="1178"/>
      <c r="K35" s="1179"/>
      <c r="L35" s="1180"/>
      <c r="M35" s="210"/>
    </row>
    <row r="36" spans="1:24" s="211" customFormat="1">
      <c r="A36" s="1184" t="s">
        <v>812</v>
      </c>
      <c r="B36" s="1185"/>
      <c r="C36" s="1185"/>
      <c r="D36" s="1185"/>
      <c r="E36" s="1185"/>
      <c r="F36" s="1185"/>
      <c r="G36" s="1185"/>
      <c r="H36" s="1185"/>
      <c r="I36" s="1185"/>
      <c r="J36" s="1185"/>
      <c r="K36" s="1185"/>
      <c r="L36" s="1180"/>
      <c r="M36" s="210"/>
    </row>
    <row r="37" spans="1:24" s="211" customFormat="1">
      <c r="A37" s="1178" t="s">
        <v>813</v>
      </c>
      <c r="B37" s="1178"/>
      <c r="C37" s="1178"/>
      <c r="D37" s="1178"/>
      <c r="E37" s="1178"/>
      <c r="F37" s="1178"/>
      <c r="G37" s="1178"/>
      <c r="H37" s="1178"/>
      <c r="I37" s="1178"/>
      <c r="J37" s="1178"/>
      <c r="K37" s="1179"/>
      <c r="L37" s="1180"/>
      <c r="M37" s="210"/>
    </row>
    <row r="38" spans="1:24" s="211" customFormat="1">
      <c r="A38" s="1184" t="s">
        <v>814</v>
      </c>
      <c r="B38" s="1179"/>
      <c r="C38" s="1179"/>
      <c r="D38" s="1179"/>
      <c r="E38" s="1179"/>
      <c r="F38" s="1179"/>
      <c r="G38" s="1179"/>
      <c r="H38" s="1179"/>
      <c r="I38" s="1179"/>
      <c r="J38" s="1179"/>
      <c r="K38" s="1179"/>
      <c r="L38" s="1180"/>
      <c r="M38" s="210"/>
    </row>
    <row r="39" spans="1:24" s="211" customFormat="1">
      <c r="A39" s="1182" t="s">
        <v>815</v>
      </c>
      <c r="B39" s="1182"/>
      <c r="C39" s="1182"/>
      <c r="D39" s="1182"/>
      <c r="E39" s="1179"/>
      <c r="F39" s="1179"/>
      <c r="G39" s="1179"/>
      <c r="H39" s="1179"/>
      <c r="I39" s="1179"/>
      <c r="J39" s="1179"/>
      <c r="K39" s="1179"/>
      <c r="L39" s="1180"/>
      <c r="M39" s="210"/>
    </row>
    <row r="40" spans="1:24" s="211" customFormat="1">
      <c r="A40" s="1178" t="s">
        <v>811</v>
      </c>
      <c r="B40" s="1178"/>
      <c r="C40" s="1178"/>
      <c r="D40" s="1178"/>
      <c r="E40" s="1178"/>
      <c r="F40" s="1178"/>
      <c r="G40" s="1178"/>
      <c r="H40" s="1178"/>
      <c r="I40" s="1178"/>
      <c r="J40" s="1178"/>
      <c r="K40" s="1179"/>
      <c r="L40" s="1180"/>
      <c r="M40" s="210"/>
    </row>
    <row r="41" spans="1:24" s="211" customFormat="1">
      <c r="A41" s="1184" t="s">
        <v>816</v>
      </c>
      <c r="B41" s="1185"/>
      <c r="C41" s="1185"/>
      <c r="D41" s="1185"/>
      <c r="E41" s="1185"/>
      <c r="F41" s="1185"/>
      <c r="G41" s="1185"/>
      <c r="H41" s="1185"/>
      <c r="I41" s="1185"/>
      <c r="J41" s="1185"/>
      <c r="K41" s="1185"/>
      <c r="L41" s="1180"/>
      <c r="M41" s="210"/>
    </row>
    <row r="42" spans="1:24" s="211" customFormat="1">
      <c r="A42" s="1178" t="s">
        <v>817</v>
      </c>
      <c r="B42" s="1178"/>
      <c r="C42" s="1178"/>
      <c r="D42" s="1178"/>
      <c r="E42" s="1178"/>
      <c r="F42" s="1178"/>
      <c r="G42" s="1178"/>
      <c r="H42" s="1178"/>
      <c r="I42" s="1178"/>
      <c r="J42" s="1178"/>
      <c r="K42" s="1179"/>
      <c r="L42" s="1180"/>
      <c r="M42" s="210"/>
    </row>
    <row r="43" spans="1:24" s="211" customFormat="1">
      <c r="A43" s="1181" t="s">
        <v>818</v>
      </c>
      <c r="B43" s="1180"/>
      <c r="C43" s="1180"/>
      <c r="D43" s="1180"/>
      <c r="E43" s="1180"/>
      <c r="F43" s="1180"/>
      <c r="G43" s="1180"/>
      <c r="H43" s="1180"/>
      <c r="I43" s="1180"/>
      <c r="J43" s="1180"/>
      <c r="K43" s="1180"/>
      <c r="L43" s="1180"/>
      <c r="M43" s="210"/>
    </row>
    <row r="44" spans="1:24" s="211" customFormat="1">
      <c r="A44" s="1182" t="s">
        <v>819</v>
      </c>
      <c r="B44" s="1182"/>
      <c r="C44" s="1182"/>
      <c r="D44" s="1182"/>
      <c r="E44" s="1182"/>
      <c r="F44" s="1182"/>
      <c r="G44" s="1180"/>
      <c r="H44" s="1180"/>
      <c r="I44" s="1180"/>
      <c r="J44" s="1180"/>
      <c r="K44" s="1180"/>
      <c r="L44" s="1180"/>
      <c r="M44" s="210"/>
    </row>
    <row r="45" spans="1:24" s="211" customFormat="1">
      <c r="A45" s="1182"/>
      <c r="B45" s="1180"/>
      <c r="C45" s="1180"/>
      <c r="D45" s="1180"/>
      <c r="E45" s="1180"/>
      <c r="F45" s="1180"/>
      <c r="G45" s="1180"/>
      <c r="H45" s="1180"/>
      <c r="I45" s="1180"/>
      <c r="J45" s="1183"/>
      <c r="K45" s="1183"/>
      <c r="L45" s="1183"/>
    </row>
    <row r="46" spans="1:24" s="211" customFormat="1">
      <c r="A46" s="186"/>
      <c r="B46" s="210"/>
      <c r="C46" s="210"/>
      <c r="D46" s="210"/>
      <c r="E46" s="210"/>
      <c r="F46" s="210"/>
      <c r="G46" s="213"/>
      <c r="H46" s="213"/>
      <c r="I46" s="213"/>
      <c r="J46" s="213"/>
      <c r="K46" s="213"/>
      <c r="L46" s="213"/>
      <c r="M46" s="210"/>
    </row>
    <row r="47" spans="1:24" s="211" customFormat="1">
      <c r="A47" s="186"/>
      <c r="B47" s="210"/>
      <c r="C47" s="210"/>
      <c r="D47" s="210"/>
      <c r="E47" s="210"/>
      <c r="F47" s="210"/>
      <c r="G47" s="210"/>
      <c r="H47" s="210"/>
      <c r="I47" s="210"/>
      <c r="J47" s="210"/>
      <c r="K47" s="210"/>
      <c r="L47" s="210"/>
      <c r="M47" s="210"/>
    </row>
    <row r="48" spans="1:24" s="211" customFormat="1">
      <c r="A48" s="186"/>
      <c r="B48" s="214"/>
      <c r="C48" s="214"/>
      <c r="D48" s="214"/>
      <c r="E48" s="214"/>
      <c r="F48" s="214"/>
      <c r="G48" s="214"/>
      <c r="H48" s="214"/>
      <c r="I48" s="214"/>
      <c r="J48" s="214"/>
      <c r="K48" s="214"/>
      <c r="L48" s="214"/>
      <c r="M48" s="214"/>
      <c r="N48" s="214"/>
      <c r="O48" s="214"/>
      <c r="P48" s="214"/>
      <c r="Q48" s="214"/>
      <c r="R48" s="214"/>
      <c r="S48" s="214"/>
      <c r="T48" s="214"/>
      <c r="U48" s="214"/>
      <c r="V48" s="214"/>
      <c r="W48" s="214"/>
      <c r="X48" s="214"/>
    </row>
    <row r="51" spans="2:24">
      <c r="B51" s="215"/>
      <c r="C51" s="215"/>
      <c r="D51" s="215"/>
      <c r="E51" s="215"/>
      <c r="F51" s="215"/>
      <c r="G51" s="215"/>
      <c r="H51" s="215"/>
      <c r="I51" s="215"/>
      <c r="J51" s="215"/>
      <c r="K51" s="215"/>
      <c r="L51" s="215"/>
      <c r="M51" s="215"/>
      <c r="N51" s="215"/>
      <c r="O51" s="215"/>
      <c r="P51" s="215"/>
      <c r="Q51" s="215"/>
      <c r="R51" s="215"/>
      <c r="S51" s="215"/>
      <c r="T51" s="215"/>
      <c r="U51" s="215"/>
      <c r="V51" s="215"/>
      <c r="W51" s="215"/>
      <c r="X51" s="215"/>
    </row>
  </sheetData>
  <mergeCells count="28">
    <mergeCell ref="A23:L23"/>
    <mergeCell ref="A4:Z4"/>
    <mergeCell ref="A19:L19"/>
    <mergeCell ref="A20:L20"/>
    <mergeCell ref="A21:L21"/>
    <mergeCell ref="A22:L22"/>
    <mergeCell ref="A35:L35"/>
    <mergeCell ref="A24:L24"/>
    <mergeCell ref="A25:L25"/>
    <mergeCell ref="A26:L26"/>
    <mergeCell ref="A27:L27"/>
    <mergeCell ref="A28:L28"/>
    <mergeCell ref="A29:L29"/>
    <mergeCell ref="A30:L30"/>
    <mergeCell ref="A31:L31"/>
    <mergeCell ref="A32:L32"/>
    <mergeCell ref="A33:L33"/>
    <mergeCell ref="A34:L34"/>
    <mergeCell ref="A42:L42"/>
    <mergeCell ref="A43:L43"/>
    <mergeCell ref="A44:L44"/>
    <mergeCell ref="A45:L45"/>
    <mergeCell ref="A36:L36"/>
    <mergeCell ref="A37:L37"/>
    <mergeCell ref="A38:L38"/>
    <mergeCell ref="A39:L39"/>
    <mergeCell ref="A40:L40"/>
    <mergeCell ref="A41:L41"/>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dimension ref="A1:L31"/>
  <sheetViews>
    <sheetView zoomScale="60" zoomScaleNormal="60" workbookViewId="0">
      <selection activeCell="O39" sqref="O39"/>
    </sheetView>
  </sheetViews>
  <sheetFormatPr defaultRowHeight="15"/>
  <cols>
    <col min="7" max="7" width="15.42578125" bestFit="1" customWidth="1"/>
    <col min="8" max="8" width="14.85546875" bestFit="1" customWidth="1"/>
    <col min="9" max="9" width="15.42578125" bestFit="1" customWidth="1"/>
    <col min="10" max="13" width="16.140625" bestFit="1" customWidth="1"/>
  </cols>
  <sheetData>
    <row r="1" spans="1:10" s="697" customFormat="1">
      <c r="A1" s="518" t="s">
        <v>2253</v>
      </c>
      <c r="B1" s="899"/>
      <c r="C1" s="73"/>
      <c r="D1" s="73"/>
      <c r="E1" s="73"/>
      <c r="F1" s="73"/>
      <c r="G1" s="73"/>
      <c r="H1" s="883"/>
      <c r="I1" s="73"/>
      <c r="J1" s="883"/>
    </row>
    <row r="31" spans="12:12">
      <c r="L31" t="s">
        <v>852</v>
      </c>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dimension ref="A1:L35"/>
  <sheetViews>
    <sheetView workbookViewId="0">
      <selection activeCell="J25" sqref="J25"/>
    </sheetView>
  </sheetViews>
  <sheetFormatPr defaultRowHeight="15"/>
  <cols>
    <col min="2" max="2" width="33.85546875" bestFit="1" customWidth="1"/>
    <col min="3" max="9" width="14.140625" bestFit="1" customWidth="1"/>
    <col min="10" max="10" width="15.28515625" bestFit="1" customWidth="1"/>
    <col min="11" max="11" width="15.28515625" style="224" bestFit="1" customWidth="1"/>
    <col min="12" max="12" width="13.28515625" bestFit="1" customWidth="1"/>
  </cols>
  <sheetData>
    <row r="1" spans="1:12">
      <c r="A1" s="882" t="s">
        <v>52</v>
      </c>
      <c r="B1" s="901" t="s">
        <v>849</v>
      </c>
      <c r="C1" s="883"/>
      <c r="D1" s="12"/>
      <c r="E1" s="12"/>
      <c r="F1" s="12"/>
      <c r="G1" s="12"/>
      <c r="H1" s="12"/>
      <c r="I1" s="12"/>
    </row>
    <row r="3" spans="1:12">
      <c r="A3" t="s">
        <v>821</v>
      </c>
    </row>
    <row r="4" spans="1:12">
      <c r="A4" s="74"/>
      <c r="B4" s="74"/>
      <c r="C4" s="74">
        <v>2004</v>
      </c>
      <c r="D4" s="74">
        <v>2005</v>
      </c>
      <c r="E4" s="74">
        <v>2006</v>
      </c>
      <c r="F4" s="74">
        <v>2007</v>
      </c>
      <c r="G4" s="74">
        <v>2008</v>
      </c>
      <c r="H4" s="74">
        <v>2009</v>
      </c>
      <c r="I4" s="74">
        <v>2010</v>
      </c>
      <c r="J4" s="74">
        <v>2011</v>
      </c>
      <c r="K4" s="233" t="s">
        <v>822</v>
      </c>
      <c r="L4" s="225">
        <v>2012</v>
      </c>
    </row>
    <row r="5" spans="1:12">
      <c r="A5" s="75" t="s">
        <v>823</v>
      </c>
      <c r="B5" s="75" t="s">
        <v>824</v>
      </c>
      <c r="C5" s="75"/>
      <c r="D5" s="245">
        <v>1311.0242525924925</v>
      </c>
      <c r="E5" s="245">
        <v>1306.5643316486501</v>
      </c>
      <c r="F5" s="245">
        <v>1551.0555433858719</v>
      </c>
      <c r="G5" s="245">
        <v>1554.1352601064518</v>
      </c>
      <c r="H5" s="245">
        <v>1145.4537467775335</v>
      </c>
      <c r="I5" s="245">
        <v>1473.5175431918565</v>
      </c>
      <c r="J5" s="246">
        <v>1469.892456160238</v>
      </c>
      <c r="K5" s="220">
        <f t="shared" ref="K5:K16" si="0">GROWTH(H5:J5,H$4:J$4,$L$4)</f>
        <v>1737.1906378159781</v>
      </c>
    </row>
    <row r="6" spans="1:12">
      <c r="A6" s="75" t="s">
        <v>825</v>
      </c>
      <c r="B6" s="75" t="s">
        <v>826</v>
      </c>
      <c r="C6" s="75"/>
      <c r="D6" s="245">
        <v>390738.19372523867</v>
      </c>
      <c r="E6" s="245">
        <v>395098.37501296523</v>
      </c>
      <c r="F6" s="245">
        <v>407580.82374657574</v>
      </c>
      <c r="G6" s="245">
        <v>413466.44414682343</v>
      </c>
      <c r="H6" s="245">
        <v>442082.72677941271</v>
      </c>
      <c r="I6" s="245">
        <v>414364.80491285387</v>
      </c>
      <c r="J6" s="246">
        <v>409770.81635620876</v>
      </c>
      <c r="K6" s="220">
        <f t="shared" si="0"/>
        <v>391002.87964087818</v>
      </c>
    </row>
    <row r="7" spans="1:12">
      <c r="A7" s="75" t="s">
        <v>827</v>
      </c>
      <c r="B7" s="75" t="s">
        <v>828</v>
      </c>
      <c r="C7" s="75"/>
      <c r="D7" s="245">
        <v>53542.402107298069</v>
      </c>
      <c r="E7" s="245">
        <v>53673.627802654875</v>
      </c>
      <c r="F7" s="245">
        <v>56171.080137160199</v>
      </c>
      <c r="G7" s="245">
        <v>56614.150122448737</v>
      </c>
      <c r="H7" s="245">
        <v>61163.977809387557</v>
      </c>
      <c r="I7" s="245">
        <v>59825.33042211867</v>
      </c>
      <c r="J7" s="246">
        <v>58931.336709381183</v>
      </c>
      <c r="K7" s="220">
        <f t="shared" si="0"/>
        <v>57777.614919933767</v>
      </c>
    </row>
    <row r="8" spans="1:12">
      <c r="A8" s="75" t="s">
        <v>829</v>
      </c>
      <c r="B8" s="75" t="s">
        <v>830</v>
      </c>
      <c r="C8" s="75"/>
      <c r="D8" s="245">
        <v>1704.2944908304232</v>
      </c>
      <c r="E8" s="245">
        <v>1703.3942349858517</v>
      </c>
      <c r="F8" s="245">
        <v>2335.7971630752445</v>
      </c>
      <c r="G8" s="245">
        <v>2363.7447301011075</v>
      </c>
      <c r="H8" s="245">
        <v>2594.1088194398017</v>
      </c>
      <c r="I8" s="245">
        <v>3249.4708058002725</v>
      </c>
      <c r="J8" s="246">
        <v>3234.569115943963</v>
      </c>
      <c r="K8" s="220">
        <f t="shared" si="0"/>
        <v>3752.9029502347744</v>
      </c>
    </row>
    <row r="9" spans="1:12">
      <c r="A9" s="75" t="s">
        <v>831</v>
      </c>
      <c r="B9" s="75" t="s">
        <v>832</v>
      </c>
      <c r="C9" s="75"/>
      <c r="D9" s="245">
        <v>3107.7575111939855</v>
      </c>
      <c r="E9" s="245">
        <v>3079.0902694142178</v>
      </c>
      <c r="F9" s="245">
        <v>3343.2014656808169</v>
      </c>
      <c r="G9" s="245">
        <v>3325.8330622851872</v>
      </c>
      <c r="H9" s="245">
        <v>2923.8000369909882</v>
      </c>
      <c r="I9" s="245">
        <v>2208.0327411143412</v>
      </c>
      <c r="J9" s="246">
        <v>2147.7881390976695</v>
      </c>
      <c r="K9" s="220">
        <f t="shared" si="0"/>
        <v>1764.7857069259023</v>
      </c>
    </row>
    <row r="10" spans="1:12">
      <c r="A10" s="75" t="s">
        <v>833</v>
      </c>
      <c r="B10" s="75" t="s">
        <v>834</v>
      </c>
      <c r="C10" s="75"/>
      <c r="D10" s="245">
        <v>2130.5748574325257</v>
      </c>
      <c r="E10" s="245">
        <v>2088.7281076501367</v>
      </c>
      <c r="F10" s="245">
        <v>2011.3876233651649</v>
      </c>
      <c r="G10" s="245">
        <v>1936.8414875662797</v>
      </c>
      <c r="H10" s="245">
        <v>1763.9575010902406</v>
      </c>
      <c r="I10" s="245">
        <v>1533.047711038568</v>
      </c>
      <c r="J10" s="246">
        <v>1498.820450946632</v>
      </c>
      <c r="K10" s="220">
        <f t="shared" si="0"/>
        <v>1354.7504139612445</v>
      </c>
    </row>
    <row r="11" spans="1:12">
      <c r="A11" s="75" t="s">
        <v>835</v>
      </c>
      <c r="B11" s="75" t="s">
        <v>836</v>
      </c>
      <c r="C11" s="75"/>
      <c r="D11" s="245">
        <v>413.60566855229808</v>
      </c>
      <c r="E11" s="245">
        <v>403.43294726527097</v>
      </c>
      <c r="F11" s="245">
        <v>397.28820651934427</v>
      </c>
      <c r="G11" s="245">
        <v>396.04400234666963</v>
      </c>
      <c r="H11" s="245">
        <v>515.87675273076002</v>
      </c>
      <c r="I11" s="245">
        <v>390.2747563252874</v>
      </c>
      <c r="J11" s="246">
        <v>384.08109552575127</v>
      </c>
      <c r="K11" s="220">
        <f t="shared" si="0"/>
        <v>317.1928757793998</v>
      </c>
    </row>
    <row r="12" spans="1:12">
      <c r="A12" s="75" t="s">
        <v>837</v>
      </c>
      <c r="B12" s="75" t="s">
        <v>838</v>
      </c>
      <c r="C12" s="75"/>
      <c r="D12" s="245">
        <v>928.4891656348268</v>
      </c>
      <c r="E12" s="245">
        <v>952.72290253761196</v>
      </c>
      <c r="F12" s="245">
        <v>906.17856047615044</v>
      </c>
      <c r="G12" s="245">
        <v>886.0875483554488</v>
      </c>
      <c r="H12" s="245">
        <v>766.36683949655958</v>
      </c>
      <c r="I12" s="245">
        <v>840.50778841228021</v>
      </c>
      <c r="J12" s="246">
        <v>831.80057278648701</v>
      </c>
      <c r="K12" s="220">
        <f t="shared" si="0"/>
        <v>881.55293910027842</v>
      </c>
    </row>
    <row r="13" spans="1:12">
      <c r="A13" s="75" t="s">
        <v>839</v>
      </c>
      <c r="B13" s="75" t="s">
        <v>840</v>
      </c>
      <c r="C13" s="75"/>
      <c r="D13" s="245">
        <v>7653.2640687118364</v>
      </c>
      <c r="E13" s="245">
        <v>7639.7766342674113</v>
      </c>
      <c r="F13" s="245">
        <v>7296.1388950827513</v>
      </c>
      <c r="G13" s="245">
        <v>7074.5608118891187</v>
      </c>
      <c r="H13" s="245">
        <v>6880.4028362088811</v>
      </c>
      <c r="I13" s="245">
        <v>6022.7533476144372</v>
      </c>
      <c r="J13" s="246">
        <v>6035.9552672797645</v>
      </c>
      <c r="K13" s="220">
        <f t="shared" si="0"/>
        <v>5527.3521151471796</v>
      </c>
    </row>
    <row r="14" spans="1:12">
      <c r="A14" s="75" t="s">
        <v>841</v>
      </c>
      <c r="B14" s="75" t="s">
        <v>842</v>
      </c>
      <c r="C14" s="75"/>
      <c r="D14" s="245">
        <v>45.621054739590349</v>
      </c>
      <c r="E14" s="245">
        <v>47.144872509529499</v>
      </c>
      <c r="F14" s="245">
        <v>95.969015459104753</v>
      </c>
      <c r="G14" s="245">
        <v>95.132465642179938</v>
      </c>
      <c r="H14" s="245">
        <v>108.65558874635653</v>
      </c>
      <c r="I14" s="245">
        <v>84.065538857780879</v>
      </c>
      <c r="J14" s="246">
        <v>82.680410614161488</v>
      </c>
      <c r="K14" s="220">
        <f t="shared" si="0"/>
        <v>69.295992683150828</v>
      </c>
    </row>
    <row r="15" spans="1:12">
      <c r="A15" s="75" t="s">
        <v>394</v>
      </c>
      <c r="B15" s="75" t="s">
        <v>843</v>
      </c>
      <c r="C15" s="75"/>
      <c r="D15" s="245">
        <v>693.15506868894602</v>
      </c>
      <c r="E15" s="245">
        <v>691.67526746631302</v>
      </c>
      <c r="F15" s="245">
        <v>630.27989542592513</v>
      </c>
      <c r="G15" s="245">
        <v>608.54696080247606</v>
      </c>
      <c r="H15" s="245">
        <v>426.8855919820445</v>
      </c>
      <c r="I15" s="245">
        <v>357.22464531069704</v>
      </c>
      <c r="J15" s="246">
        <v>357.30052799878104</v>
      </c>
      <c r="K15" s="220">
        <f t="shared" si="0"/>
        <v>317.31043215623203</v>
      </c>
    </row>
    <row r="16" spans="1:12">
      <c r="A16" s="75" t="s">
        <v>124</v>
      </c>
      <c r="B16" s="75" t="s">
        <v>844</v>
      </c>
      <c r="C16" s="75"/>
      <c r="D16" s="245">
        <v>57.323179350197073</v>
      </c>
      <c r="E16" s="245">
        <v>58.117997343501273</v>
      </c>
      <c r="F16" s="245">
        <v>71.702579191502195</v>
      </c>
      <c r="G16" s="245">
        <v>68.978341037352735</v>
      </c>
      <c r="H16" s="245">
        <v>28.520204396778574</v>
      </c>
      <c r="I16" s="245">
        <v>22.977522308920769</v>
      </c>
      <c r="J16" s="246">
        <v>23.681589714000314</v>
      </c>
      <c r="K16" s="220">
        <f t="shared" si="0"/>
        <v>20.711606192743638</v>
      </c>
    </row>
    <row r="17" spans="1:12">
      <c r="A17" s="75" t="s">
        <v>489</v>
      </c>
      <c r="B17" s="75" t="s">
        <v>845</v>
      </c>
      <c r="C17" s="75"/>
      <c r="D17" s="245">
        <v>4.7473220928625166E-2</v>
      </c>
      <c r="E17" s="245">
        <v>0.10431834836080317</v>
      </c>
      <c r="F17" s="245">
        <v>1.1391246538073928E-3</v>
      </c>
      <c r="G17" s="245">
        <v>1.3555243714813651E-2</v>
      </c>
      <c r="H17" s="245">
        <v>0.12200886119740675</v>
      </c>
      <c r="I17" s="245">
        <v>0.64052455470407155</v>
      </c>
      <c r="J17" s="246">
        <v>0.61539086883844063</v>
      </c>
      <c r="K17" s="220"/>
      <c r="L17" s="226"/>
    </row>
    <row r="18" spans="1:12">
      <c r="A18" s="234"/>
      <c r="B18" s="241" t="s">
        <v>846</v>
      </c>
      <c r="C18" s="235">
        <v>477832</v>
      </c>
      <c r="D18" s="235">
        <v>462325.75262348476</v>
      </c>
      <c r="E18" s="235">
        <v>466742.75469905691</v>
      </c>
      <c r="F18" s="235">
        <v>482390.90397052246</v>
      </c>
      <c r="G18" s="235">
        <v>488390.51249464822</v>
      </c>
      <c r="H18" s="235">
        <v>520400.85451552144</v>
      </c>
      <c r="I18" s="235">
        <v>490372.64825950167</v>
      </c>
      <c r="J18" s="236">
        <v>484769.33808252629</v>
      </c>
      <c r="K18" s="237">
        <f>SUM(K5:K17)</f>
        <v>464523.5402308089</v>
      </c>
    </row>
    <row r="19" spans="1:12" s="227" customFormat="1">
      <c r="C19" s="228"/>
      <c r="D19" s="228"/>
      <c r="E19" s="228"/>
      <c r="F19" s="228"/>
      <c r="G19" s="228"/>
      <c r="H19" s="228"/>
      <c r="I19" s="228"/>
      <c r="J19" s="229"/>
      <c r="K19" s="230"/>
    </row>
    <row r="20" spans="1:12">
      <c r="A20" s="227" t="s">
        <v>847</v>
      </c>
    </row>
    <row r="21" spans="1:12">
      <c r="A21" s="74"/>
      <c r="B21" s="74"/>
      <c r="C21" s="74">
        <v>2004</v>
      </c>
      <c r="D21" s="74">
        <v>2005</v>
      </c>
      <c r="E21" s="74">
        <v>2006</v>
      </c>
      <c r="F21" s="73">
        <v>2007</v>
      </c>
      <c r="G21" s="74">
        <v>2008</v>
      </c>
      <c r="H21" s="74">
        <v>2009</v>
      </c>
      <c r="I21" s="74">
        <v>2010</v>
      </c>
      <c r="J21" s="74">
        <v>2011</v>
      </c>
      <c r="K21" s="238" t="s">
        <v>848</v>
      </c>
    </row>
    <row r="22" spans="1:12">
      <c r="A22" s="75" t="s">
        <v>823</v>
      </c>
      <c r="B22" s="75" t="s">
        <v>824</v>
      </c>
      <c r="C22" s="239">
        <f>C5*365</f>
        <v>0</v>
      </c>
      <c r="D22" s="239">
        <f t="shared" ref="D22:K22" si="1">D5*365</f>
        <v>478523.85219625977</v>
      </c>
      <c r="E22" s="239">
        <f t="shared" si="1"/>
        <v>476895.98105175729</v>
      </c>
      <c r="F22" s="240">
        <f t="shared" si="1"/>
        <v>566135.27333584323</v>
      </c>
      <c r="G22" s="239">
        <f t="shared" si="1"/>
        <v>567259.36993885494</v>
      </c>
      <c r="H22" s="239">
        <f t="shared" si="1"/>
        <v>418090.61757379974</v>
      </c>
      <c r="I22" s="239">
        <f t="shared" si="1"/>
        <v>537833.90326502756</v>
      </c>
      <c r="J22" s="239">
        <f t="shared" si="1"/>
        <v>536510.74649848684</v>
      </c>
      <c r="K22" s="79">
        <f t="shared" si="1"/>
        <v>634074.58280283201</v>
      </c>
      <c r="L22" s="231"/>
    </row>
    <row r="23" spans="1:12">
      <c r="A23" s="75" t="s">
        <v>825</v>
      </c>
      <c r="B23" s="75" t="s">
        <v>826</v>
      </c>
      <c r="C23" s="239">
        <f t="shared" ref="C23:K35" si="2">C6*365</f>
        <v>0</v>
      </c>
      <c r="D23" s="239">
        <f t="shared" si="2"/>
        <v>142619440.70971212</v>
      </c>
      <c r="E23" s="239">
        <f t="shared" si="2"/>
        <v>144210906.87973231</v>
      </c>
      <c r="F23" s="64">
        <f t="shared" si="2"/>
        <v>148767000.66750014</v>
      </c>
      <c r="G23" s="239">
        <f t="shared" si="2"/>
        <v>150915252.11359054</v>
      </c>
      <c r="H23" s="239">
        <f t="shared" si="2"/>
        <v>161360195.27448565</v>
      </c>
      <c r="I23" s="239">
        <f t="shared" si="2"/>
        <v>151243153.79319167</v>
      </c>
      <c r="J23" s="239">
        <f t="shared" si="2"/>
        <v>149566347.97001621</v>
      </c>
      <c r="K23" s="79">
        <f t="shared" si="2"/>
        <v>142716051.06892052</v>
      </c>
      <c r="L23" s="231"/>
    </row>
    <row r="24" spans="1:12">
      <c r="A24" s="75" t="s">
        <v>827</v>
      </c>
      <c r="B24" s="75" t="s">
        <v>828</v>
      </c>
      <c r="C24" s="239">
        <f t="shared" si="2"/>
        <v>0</v>
      </c>
      <c r="D24" s="239">
        <f t="shared" si="2"/>
        <v>19542976.769163795</v>
      </c>
      <c r="E24" s="239">
        <f t="shared" si="2"/>
        <v>19590874.14796903</v>
      </c>
      <c r="F24" s="64">
        <f t="shared" si="2"/>
        <v>20502444.250063471</v>
      </c>
      <c r="G24" s="239">
        <f t="shared" si="2"/>
        <v>20664164.79469379</v>
      </c>
      <c r="H24" s="239">
        <f t="shared" si="2"/>
        <v>22324851.900426459</v>
      </c>
      <c r="I24" s="239">
        <f t="shared" si="2"/>
        <v>21836245.604073316</v>
      </c>
      <c r="J24" s="239">
        <f t="shared" si="2"/>
        <v>21509937.898924131</v>
      </c>
      <c r="K24" s="79">
        <f t="shared" si="2"/>
        <v>21088829.445775826</v>
      </c>
      <c r="L24" s="231"/>
    </row>
    <row r="25" spans="1:12">
      <c r="A25" s="75" t="s">
        <v>829</v>
      </c>
      <c r="B25" s="75" t="s">
        <v>830</v>
      </c>
      <c r="C25" s="239">
        <f t="shared" si="2"/>
        <v>0</v>
      </c>
      <c r="D25" s="239">
        <f t="shared" si="2"/>
        <v>622067.48915310449</v>
      </c>
      <c r="E25" s="239">
        <f t="shared" si="2"/>
        <v>621738.8957698358</v>
      </c>
      <c r="F25" s="64">
        <f t="shared" si="2"/>
        <v>852565.9645224642</v>
      </c>
      <c r="G25" s="239">
        <f t="shared" si="2"/>
        <v>862766.82648690429</v>
      </c>
      <c r="H25" s="239">
        <f t="shared" si="2"/>
        <v>946849.71909552766</v>
      </c>
      <c r="I25" s="239">
        <f t="shared" si="2"/>
        <v>1186056.8441170994</v>
      </c>
      <c r="J25" s="239">
        <f t="shared" si="2"/>
        <v>1180617.7273195465</v>
      </c>
      <c r="K25" s="79">
        <f t="shared" si="2"/>
        <v>1369809.5768356926</v>
      </c>
      <c r="L25" s="231"/>
    </row>
    <row r="26" spans="1:12">
      <c r="A26" s="75" t="s">
        <v>831</v>
      </c>
      <c r="B26" s="75" t="s">
        <v>832</v>
      </c>
      <c r="C26" s="239">
        <f t="shared" si="2"/>
        <v>0</v>
      </c>
      <c r="D26" s="239">
        <f t="shared" si="2"/>
        <v>1134331.4915858046</v>
      </c>
      <c r="E26" s="239">
        <f t="shared" si="2"/>
        <v>1123867.9483361896</v>
      </c>
      <c r="F26" s="64">
        <f t="shared" si="2"/>
        <v>1220268.5349734982</v>
      </c>
      <c r="G26" s="239">
        <f t="shared" si="2"/>
        <v>1213929.0677340934</v>
      </c>
      <c r="H26" s="239">
        <f t="shared" si="2"/>
        <v>1067187.0135017107</v>
      </c>
      <c r="I26" s="239">
        <f t="shared" si="2"/>
        <v>805931.95050673455</v>
      </c>
      <c r="J26" s="239">
        <f t="shared" si="2"/>
        <v>783942.67077064933</v>
      </c>
      <c r="K26" s="79">
        <f t="shared" si="2"/>
        <v>644146.7830279544</v>
      </c>
      <c r="L26" s="231"/>
    </row>
    <row r="27" spans="1:12">
      <c r="A27" s="75" t="s">
        <v>833</v>
      </c>
      <c r="B27" s="75" t="s">
        <v>834</v>
      </c>
      <c r="C27" s="239">
        <f t="shared" si="2"/>
        <v>0</v>
      </c>
      <c r="D27" s="239">
        <f t="shared" si="2"/>
        <v>777659.82296287187</v>
      </c>
      <c r="E27" s="239">
        <f t="shared" si="2"/>
        <v>762385.75929229986</v>
      </c>
      <c r="F27" s="64">
        <f t="shared" si="2"/>
        <v>734156.48252828524</v>
      </c>
      <c r="G27" s="239">
        <f t="shared" si="2"/>
        <v>706947.14296169207</v>
      </c>
      <c r="H27" s="239">
        <f t="shared" si="2"/>
        <v>643844.48789793777</v>
      </c>
      <c r="I27" s="239">
        <f t="shared" si="2"/>
        <v>559562.41452907736</v>
      </c>
      <c r="J27" s="239">
        <f t="shared" si="2"/>
        <v>547069.46459552064</v>
      </c>
      <c r="K27" s="79">
        <f t="shared" si="2"/>
        <v>494483.90109585423</v>
      </c>
      <c r="L27" s="231"/>
    </row>
    <row r="28" spans="1:12">
      <c r="A28" s="75" t="s">
        <v>835</v>
      </c>
      <c r="B28" s="75" t="s">
        <v>836</v>
      </c>
      <c r="C28" s="239">
        <f t="shared" si="2"/>
        <v>0</v>
      </c>
      <c r="D28" s="239">
        <f t="shared" si="2"/>
        <v>150966.0690215888</v>
      </c>
      <c r="E28" s="239">
        <f t="shared" si="2"/>
        <v>147253.02575182391</v>
      </c>
      <c r="F28" s="64">
        <f t="shared" si="2"/>
        <v>145010.19537956067</v>
      </c>
      <c r="G28" s="239">
        <f t="shared" si="2"/>
        <v>144556.0608565344</v>
      </c>
      <c r="H28" s="239">
        <f t="shared" si="2"/>
        <v>188295.01474672739</v>
      </c>
      <c r="I28" s="239">
        <f t="shared" si="2"/>
        <v>142450.28605872989</v>
      </c>
      <c r="J28" s="239">
        <f t="shared" si="2"/>
        <v>140189.59986689923</v>
      </c>
      <c r="K28" s="79">
        <f t="shared" si="2"/>
        <v>115775.39965948093</v>
      </c>
      <c r="L28" s="231"/>
    </row>
    <row r="29" spans="1:12">
      <c r="A29" s="75" t="s">
        <v>837</v>
      </c>
      <c r="B29" s="75" t="s">
        <v>838</v>
      </c>
      <c r="C29" s="239">
        <f t="shared" si="2"/>
        <v>0</v>
      </c>
      <c r="D29" s="239">
        <f t="shared" si="2"/>
        <v>338898.54545671178</v>
      </c>
      <c r="E29" s="239">
        <f t="shared" si="2"/>
        <v>347743.85942622839</v>
      </c>
      <c r="F29" s="64">
        <f t="shared" si="2"/>
        <v>330755.17457379494</v>
      </c>
      <c r="G29" s="239">
        <f t="shared" si="2"/>
        <v>323421.95514973882</v>
      </c>
      <c r="H29" s="239">
        <f t="shared" si="2"/>
        <v>279723.89641624427</v>
      </c>
      <c r="I29" s="239">
        <f t="shared" si="2"/>
        <v>306785.3427704823</v>
      </c>
      <c r="J29" s="239">
        <f t="shared" si="2"/>
        <v>303607.20906706777</v>
      </c>
      <c r="K29" s="79">
        <f t="shared" si="2"/>
        <v>321766.82277160161</v>
      </c>
      <c r="L29" s="231"/>
    </row>
    <row r="30" spans="1:12">
      <c r="A30" s="75" t="s">
        <v>839</v>
      </c>
      <c r="B30" s="75" t="s">
        <v>840</v>
      </c>
      <c r="C30" s="239">
        <f t="shared" si="2"/>
        <v>0</v>
      </c>
      <c r="D30" s="239">
        <f t="shared" si="2"/>
        <v>2793441.3850798202</v>
      </c>
      <c r="E30" s="239">
        <f t="shared" si="2"/>
        <v>2788518.4715076052</v>
      </c>
      <c r="F30" s="64">
        <f t="shared" si="2"/>
        <v>2663090.6967052044</v>
      </c>
      <c r="G30" s="239">
        <f t="shared" si="2"/>
        <v>2582214.6963395285</v>
      </c>
      <c r="H30" s="239">
        <f t="shared" si="2"/>
        <v>2511347.0352162416</v>
      </c>
      <c r="I30" s="239">
        <f t="shared" si="2"/>
        <v>2198304.9718792695</v>
      </c>
      <c r="J30" s="239">
        <f t="shared" si="2"/>
        <v>2203123.6725571142</v>
      </c>
      <c r="K30" s="79">
        <f t="shared" si="2"/>
        <v>2017483.5220287205</v>
      </c>
      <c r="L30" s="231"/>
    </row>
    <row r="31" spans="1:12">
      <c r="A31" s="75" t="s">
        <v>841</v>
      </c>
      <c r="B31" s="75" t="s">
        <v>842</v>
      </c>
      <c r="C31" s="239">
        <f t="shared" si="2"/>
        <v>0</v>
      </c>
      <c r="D31" s="239">
        <f t="shared" si="2"/>
        <v>16651.684979950478</v>
      </c>
      <c r="E31" s="239">
        <f t="shared" si="2"/>
        <v>17207.878465978269</v>
      </c>
      <c r="F31" s="64">
        <f t="shared" si="2"/>
        <v>35028.690642573238</v>
      </c>
      <c r="G31" s="239">
        <f t="shared" si="2"/>
        <v>34723.34995939568</v>
      </c>
      <c r="H31" s="239">
        <f t="shared" si="2"/>
        <v>39659.289892420136</v>
      </c>
      <c r="I31" s="239">
        <f t="shared" si="2"/>
        <v>30683.921683090022</v>
      </c>
      <c r="J31" s="239">
        <f t="shared" si="2"/>
        <v>30178.349874168944</v>
      </c>
      <c r="K31" s="79">
        <f t="shared" si="2"/>
        <v>25293.037329350052</v>
      </c>
      <c r="L31" s="231"/>
    </row>
    <row r="32" spans="1:12">
      <c r="A32" s="75" t="s">
        <v>394</v>
      </c>
      <c r="B32" s="75" t="s">
        <v>843</v>
      </c>
      <c r="C32" s="239">
        <f t="shared" si="2"/>
        <v>0</v>
      </c>
      <c r="D32" s="239">
        <f t="shared" si="2"/>
        <v>253001.60007146531</v>
      </c>
      <c r="E32" s="239">
        <f t="shared" si="2"/>
        <v>252461.47262520425</v>
      </c>
      <c r="F32" s="64">
        <f t="shared" si="2"/>
        <v>230052.16183046266</v>
      </c>
      <c r="G32" s="239">
        <f t="shared" si="2"/>
        <v>222119.64069290378</v>
      </c>
      <c r="H32" s="239">
        <f t="shared" si="2"/>
        <v>155813.24107344623</v>
      </c>
      <c r="I32" s="239">
        <f t="shared" si="2"/>
        <v>130386.99553840442</v>
      </c>
      <c r="J32" s="239">
        <f t="shared" si="2"/>
        <v>130414.69271955508</v>
      </c>
      <c r="K32" s="79">
        <f t="shared" si="2"/>
        <v>115818.30773702469</v>
      </c>
      <c r="L32" s="231"/>
    </row>
    <row r="33" spans="1:12">
      <c r="A33" s="75" t="s">
        <v>124</v>
      </c>
      <c r="B33" s="75" t="s">
        <v>844</v>
      </c>
      <c r="C33" s="239">
        <f t="shared" si="2"/>
        <v>0</v>
      </c>
      <c r="D33" s="239">
        <f t="shared" si="2"/>
        <v>20922.960462821931</v>
      </c>
      <c r="E33" s="239">
        <f t="shared" si="2"/>
        <v>21213.069030377963</v>
      </c>
      <c r="F33" s="64">
        <f t="shared" si="2"/>
        <v>26171.441404898302</v>
      </c>
      <c r="G33" s="239">
        <f t="shared" si="2"/>
        <v>25177.09447863375</v>
      </c>
      <c r="H33" s="239">
        <f t="shared" si="2"/>
        <v>10409.874604824179</v>
      </c>
      <c r="I33" s="239">
        <f t="shared" si="2"/>
        <v>8386.7956427560803</v>
      </c>
      <c r="J33" s="239">
        <f t="shared" si="2"/>
        <v>8643.7802456101144</v>
      </c>
      <c r="K33" s="79">
        <f t="shared" si="2"/>
        <v>7559.7362603514275</v>
      </c>
      <c r="L33" s="231"/>
    </row>
    <row r="34" spans="1:12">
      <c r="A34" s="75" t="s">
        <v>489</v>
      </c>
      <c r="B34" s="75" t="s">
        <v>845</v>
      </c>
      <c r="C34" s="239">
        <f t="shared" si="2"/>
        <v>0</v>
      </c>
      <c r="D34" s="239">
        <f t="shared" si="2"/>
        <v>17.327725638948184</v>
      </c>
      <c r="E34" s="239">
        <f t="shared" si="2"/>
        <v>38.076197151693158</v>
      </c>
      <c r="F34" s="64">
        <f t="shared" si="2"/>
        <v>0.4157804986396984</v>
      </c>
      <c r="G34" s="239">
        <f t="shared" si="2"/>
        <v>4.9476639559069824</v>
      </c>
      <c r="H34" s="239">
        <f t="shared" si="2"/>
        <v>44.533234337053464</v>
      </c>
      <c r="I34" s="239">
        <f t="shared" si="2"/>
        <v>233.7914624669861</v>
      </c>
      <c r="J34" s="239">
        <f t="shared" si="2"/>
        <v>224.61766712603082</v>
      </c>
      <c r="K34" s="79"/>
      <c r="L34" s="232"/>
    </row>
    <row r="35" spans="1:12" s="1" customFormat="1">
      <c r="A35" s="241"/>
      <c r="B35" s="241" t="s">
        <v>846</v>
      </c>
      <c r="C35" s="242">
        <f t="shared" si="2"/>
        <v>174408680</v>
      </c>
      <c r="D35" s="242">
        <f t="shared" si="2"/>
        <v>168748899.70757192</v>
      </c>
      <c r="E35" s="242">
        <f t="shared" si="2"/>
        <v>170361105.46515578</v>
      </c>
      <c r="F35" s="243">
        <f t="shared" si="2"/>
        <v>176072679.94924068</v>
      </c>
      <c r="G35" s="242">
        <f t="shared" si="2"/>
        <v>178262537.06054661</v>
      </c>
      <c r="H35" s="242">
        <f t="shared" si="2"/>
        <v>189946311.89816532</v>
      </c>
      <c r="I35" s="242">
        <f t="shared" si="2"/>
        <v>178986016.61471811</v>
      </c>
      <c r="J35" s="242">
        <f t="shared" si="2"/>
        <v>176940808.40012211</v>
      </c>
      <c r="K35" s="244">
        <f t="shared" si="2"/>
        <v>169551092.18424526</v>
      </c>
      <c r="L35" s="232"/>
    </row>
  </sheetData>
  <hyperlinks>
    <hyperlink ref="B1" r:id="rId1"/>
  </hyperlinks>
  <pageMargins left="0.7" right="0.7" top="0.75" bottom="0.75" header="0.3" footer="0.3"/>
</worksheet>
</file>

<file path=xl/worksheets/sheet47.xml><?xml version="1.0" encoding="utf-8"?>
<worksheet xmlns="http://schemas.openxmlformats.org/spreadsheetml/2006/main" xmlns:r="http://schemas.openxmlformats.org/officeDocument/2006/relationships">
  <dimension ref="A1:AY12"/>
  <sheetViews>
    <sheetView workbookViewId="0">
      <selection activeCell="B7" sqref="B7"/>
    </sheetView>
  </sheetViews>
  <sheetFormatPr defaultRowHeight="15"/>
  <cols>
    <col min="1" max="1" width="19.42578125" customWidth="1"/>
    <col min="2" max="51" width="12.7109375" customWidth="1"/>
  </cols>
  <sheetData>
    <row r="1" spans="1:51">
      <c r="A1" s="697" t="s">
        <v>2397</v>
      </c>
      <c r="B1" s="701"/>
      <c r="C1" s="701"/>
      <c r="D1" s="701"/>
      <c r="E1" s="703" t="s">
        <v>2401</v>
      </c>
      <c r="F1" s="975">
        <f>(L6/E6)^(1/7)-1</f>
        <v>-6.2305583946469234E-3</v>
      </c>
      <c r="G1" s="701"/>
      <c r="H1" s="701"/>
      <c r="I1" s="701"/>
      <c r="J1" s="701"/>
      <c r="K1" s="701"/>
      <c r="L1" s="701"/>
      <c r="M1" s="701"/>
      <c r="N1" s="701"/>
      <c r="O1" s="701"/>
      <c r="P1" s="701"/>
      <c r="Q1" s="701"/>
      <c r="R1" s="701"/>
      <c r="S1" s="701"/>
      <c r="T1" s="701"/>
      <c r="U1" s="701"/>
      <c r="V1" s="701"/>
      <c r="W1" s="701"/>
      <c r="X1" s="701"/>
      <c r="Y1" s="701"/>
      <c r="Z1" s="701"/>
      <c r="AA1" s="701"/>
      <c r="AB1" s="701"/>
      <c r="AC1" s="701"/>
      <c r="AD1" s="701"/>
      <c r="AE1" s="701"/>
      <c r="AF1" s="701"/>
      <c r="AG1" s="701"/>
      <c r="AH1" s="701"/>
      <c r="AI1" s="701"/>
      <c r="AJ1" s="701"/>
      <c r="AK1" s="701"/>
      <c r="AL1" s="701"/>
      <c r="AM1" s="701"/>
      <c r="AN1" s="701"/>
      <c r="AO1" s="701"/>
      <c r="AP1" s="701"/>
      <c r="AQ1" s="701"/>
      <c r="AR1" s="701"/>
      <c r="AS1" s="701"/>
      <c r="AT1" s="701"/>
      <c r="AU1" s="701"/>
      <c r="AV1" s="701"/>
      <c r="AW1" s="701"/>
      <c r="AX1" s="701"/>
      <c r="AY1" s="701"/>
    </row>
    <row r="2" spans="1:51" s="697" customFormat="1">
      <c r="B2" s="701"/>
      <c r="C2" s="701"/>
      <c r="D2" s="701"/>
      <c r="E2" s="703"/>
      <c r="F2" s="980"/>
      <c r="G2" s="701"/>
      <c r="H2" s="701"/>
      <c r="I2" s="701"/>
      <c r="J2" s="701"/>
      <c r="K2" s="701"/>
      <c r="L2" s="701"/>
      <c r="M2" s="701"/>
      <c r="N2" s="701"/>
      <c r="O2" s="701"/>
      <c r="P2" s="701"/>
      <c r="Q2" s="701"/>
      <c r="R2" s="701"/>
      <c r="S2" s="701"/>
      <c r="T2" s="701"/>
      <c r="U2" s="701"/>
      <c r="V2" s="701"/>
      <c r="W2" s="701"/>
      <c r="X2" s="701"/>
      <c r="Y2" s="701"/>
      <c r="Z2" s="701"/>
      <c r="AA2" s="701"/>
      <c r="AB2" s="701"/>
      <c r="AC2" s="701"/>
      <c r="AD2" s="701"/>
      <c r="AE2" s="701"/>
      <c r="AF2" s="701"/>
      <c r="AG2" s="701"/>
      <c r="AH2" s="701"/>
      <c r="AI2" s="701"/>
      <c r="AJ2" s="701"/>
      <c r="AK2" s="701"/>
      <c r="AL2" s="701"/>
      <c r="AM2" s="701"/>
      <c r="AN2" s="701"/>
      <c r="AO2" s="701"/>
      <c r="AP2" s="701"/>
      <c r="AQ2" s="701"/>
      <c r="AR2" s="701"/>
      <c r="AS2" s="701"/>
      <c r="AT2" s="701"/>
      <c r="AU2" s="701"/>
      <c r="AV2" s="701"/>
      <c r="AW2" s="701"/>
      <c r="AX2" s="701"/>
      <c r="AY2" s="701"/>
    </row>
    <row r="3" spans="1:51">
      <c r="A3" s="701"/>
      <c r="B3" s="701">
        <v>2001</v>
      </c>
      <c r="C3" s="701">
        <v>2002</v>
      </c>
      <c r="D3" s="701">
        <v>2003</v>
      </c>
      <c r="E3" s="701">
        <v>2004</v>
      </c>
      <c r="F3" s="701">
        <v>2005</v>
      </c>
      <c r="G3" s="701">
        <v>2006</v>
      </c>
      <c r="H3" s="701">
        <v>2007</v>
      </c>
      <c r="I3" s="701">
        <v>2008</v>
      </c>
      <c r="J3" s="701">
        <v>2009</v>
      </c>
      <c r="K3" s="701">
        <v>2010</v>
      </c>
      <c r="L3" s="701">
        <v>2011</v>
      </c>
      <c r="M3" s="701">
        <v>2012</v>
      </c>
      <c r="N3" s="701">
        <v>2013</v>
      </c>
      <c r="O3" s="701">
        <v>2014</v>
      </c>
      <c r="P3" s="701">
        <v>2015</v>
      </c>
      <c r="Q3" s="701">
        <v>2016</v>
      </c>
      <c r="R3" s="701">
        <v>2017</v>
      </c>
      <c r="S3" s="701">
        <v>2018</v>
      </c>
      <c r="T3" s="701">
        <v>2019</v>
      </c>
      <c r="U3" s="701">
        <v>2020</v>
      </c>
      <c r="V3" s="701">
        <v>2021</v>
      </c>
      <c r="W3" s="701">
        <v>2022</v>
      </c>
      <c r="X3" s="701">
        <v>2023</v>
      </c>
      <c r="Y3" s="701">
        <v>2024</v>
      </c>
      <c r="Z3" s="701">
        <v>2025</v>
      </c>
      <c r="AA3" s="701">
        <v>2026</v>
      </c>
      <c r="AB3" s="701">
        <v>2027</v>
      </c>
      <c r="AC3" s="701">
        <v>2028</v>
      </c>
      <c r="AD3" s="701">
        <v>2029</v>
      </c>
      <c r="AE3" s="701">
        <v>2030</v>
      </c>
      <c r="AF3" s="701">
        <v>2031</v>
      </c>
      <c r="AG3" s="701">
        <v>2032</v>
      </c>
      <c r="AH3" s="701">
        <v>2033</v>
      </c>
      <c r="AI3" s="701">
        <v>2034</v>
      </c>
      <c r="AJ3" s="701">
        <v>2035</v>
      </c>
      <c r="AK3" s="701">
        <v>2036</v>
      </c>
      <c r="AL3" s="701">
        <v>2037</v>
      </c>
      <c r="AM3" s="701">
        <v>2038</v>
      </c>
      <c r="AN3" s="701">
        <v>2039</v>
      </c>
      <c r="AO3" s="701">
        <v>2040</v>
      </c>
      <c r="AP3" s="701">
        <v>2041</v>
      </c>
      <c r="AQ3" s="701">
        <v>2042</v>
      </c>
      <c r="AR3" s="701">
        <v>2043</v>
      </c>
      <c r="AS3" s="701">
        <v>2044</v>
      </c>
      <c r="AT3" s="701">
        <v>2045</v>
      </c>
      <c r="AU3" s="701">
        <v>2046</v>
      </c>
      <c r="AV3" s="701">
        <v>2047</v>
      </c>
      <c r="AW3" s="701">
        <v>2048</v>
      </c>
      <c r="AX3" s="701">
        <v>2049</v>
      </c>
      <c r="AY3" s="701">
        <v>2050</v>
      </c>
    </row>
    <row r="4" spans="1:51">
      <c r="A4" s="701" t="s">
        <v>2398</v>
      </c>
      <c r="B4" s="976">
        <v>133618835</v>
      </c>
      <c r="C4" s="976">
        <v>132210300</v>
      </c>
      <c r="D4" s="976">
        <v>142771210</v>
      </c>
      <c r="E4" s="976">
        <v>174886512</v>
      </c>
      <c r="F4" s="976">
        <v>168748990</v>
      </c>
      <c r="G4" s="976">
        <v>170361105.46515578</v>
      </c>
      <c r="H4" s="976">
        <v>176072679.94924068</v>
      </c>
      <c r="I4" s="976">
        <v>178262537.06054661</v>
      </c>
      <c r="J4" s="976">
        <v>189946311.89816532</v>
      </c>
      <c r="K4" s="976">
        <v>178986016.61471811</v>
      </c>
      <c r="L4" s="976">
        <v>176940808.40012211</v>
      </c>
      <c r="M4" s="971">
        <f>M6*M5</f>
        <v>175949815.21417567</v>
      </c>
      <c r="N4" s="971">
        <f t="shared" ref="N4:AY4" si="0">N6*N5</f>
        <v>177690589.92028233</v>
      </c>
      <c r="O4" s="971">
        <f t="shared" si="0"/>
        <v>178309947.50055948</v>
      </c>
      <c r="P4" s="971">
        <f t="shared" si="0"/>
        <v>178914689.27024195</v>
      </c>
      <c r="Q4" s="971">
        <f t="shared" si="0"/>
        <v>179504973.31527928</v>
      </c>
      <c r="R4" s="971">
        <f t="shared" si="0"/>
        <v>180080956.31907722</v>
      </c>
      <c r="S4" s="971">
        <f t="shared" si="0"/>
        <v>180642793.57383814</v>
      </c>
      <c r="T4" s="971">
        <f t="shared" si="0"/>
        <v>181190638.99181443</v>
      </c>
      <c r="U4" s="971">
        <f t="shared" si="0"/>
        <v>183022937.92126706</v>
      </c>
      <c r="V4" s="971">
        <f t="shared" si="0"/>
        <v>182244963.13359189</v>
      </c>
      <c r="W4" s="971">
        <f t="shared" si="0"/>
        <v>182751742.88222688</v>
      </c>
      <c r="X4" s="971">
        <f t="shared" si="0"/>
        <v>183245132.86565417</v>
      </c>
      <c r="Y4" s="971">
        <f t="shared" si="0"/>
        <v>183725280.26218399</v>
      </c>
      <c r="Z4" s="971">
        <f t="shared" si="0"/>
        <v>184192330.93590921</v>
      </c>
      <c r="AA4" s="971">
        <f t="shared" si="0"/>
        <v>184646429.44736853</v>
      </c>
      <c r="AB4" s="971">
        <f t="shared" si="0"/>
        <v>185087719.06412783</v>
      </c>
      <c r="AC4" s="971">
        <f t="shared" si="0"/>
        <v>185516341.77128023</v>
      </c>
      <c r="AD4" s="971">
        <f t="shared" si="0"/>
        <v>185932438.28186548</v>
      </c>
      <c r="AE4" s="971">
        <f t="shared" si="0"/>
        <v>186665778.48466584</v>
      </c>
      <c r="AF4" s="971">
        <f t="shared" si="0"/>
        <v>186727609.26718342</v>
      </c>
      <c r="AG4" s="971">
        <f t="shared" si="0"/>
        <v>187106958.90038639</v>
      </c>
      <c r="AH4" s="971">
        <f t="shared" si="0"/>
        <v>187474332.67424664</v>
      </c>
      <c r="AI4" s="971">
        <f t="shared" si="0"/>
        <v>187829865.09504715</v>
      </c>
      <c r="AJ4" s="971">
        <f t="shared" si="0"/>
        <v>188173689.4578737</v>
      </c>
      <c r="AK4" s="971">
        <f t="shared" si="0"/>
        <v>188505937.85648593</v>
      </c>
      <c r="AL4" s="971">
        <f t="shared" si="0"/>
        <v>188826741.19311306</v>
      </c>
      <c r="AM4" s="971">
        <f t="shared" si="0"/>
        <v>189136229.18817344</v>
      </c>
      <c r="AN4" s="971">
        <f t="shared" si="0"/>
        <v>189434530.38991997</v>
      </c>
      <c r="AO4" s="971">
        <f t="shared" si="0"/>
        <v>189195351.90762857</v>
      </c>
      <c r="AP4" s="971">
        <f t="shared" si="0"/>
        <v>189998080.80300543</v>
      </c>
      <c r="AQ4" s="971">
        <f t="shared" si="0"/>
        <v>190263581.33579066</v>
      </c>
      <c r="AR4" s="971">
        <f t="shared" si="0"/>
        <v>190518397.73692948</v>
      </c>
      <c r="AS4" s="971">
        <f t="shared" si="0"/>
        <v>190762652.83594111</v>
      </c>
      <c r="AT4" s="971">
        <f t="shared" si="0"/>
        <v>190996468.34650838</v>
      </c>
      <c r="AU4" s="971">
        <f t="shared" si="0"/>
        <v>191219964.8756139</v>
      </c>
      <c r="AV4" s="971">
        <f t="shared" si="0"/>
        <v>191433261.93260583</v>
      </c>
      <c r="AW4" s="971">
        <f t="shared" si="0"/>
        <v>191636477.93819395</v>
      </c>
      <c r="AX4" s="971">
        <f t="shared" si="0"/>
        <v>191829730.23337567</v>
      </c>
      <c r="AY4" s="971">
        <f t="shared" si="0"/>
        <v>192013135.08829358</v>
      </c>
    </row>
    <row r="5" spans="1:51">
      <c r="A5" s="701" t="s">
        <v>2399</v>
      </c>
      <c r="B5" s="977">
        <v>40347</v>
      </c>
      <c r="C5" s="977">
        <v>40129</v>
      </c>
      <c r="D5" s="977">
        <v>40443</v>
      </c>
      <c r="E5" s="977">
        <v>40303</v>
      </c>
      <c r="F5" s="977">
        <v>40622</v>
      </c>
      <c r="G5" s="977">
        <v>41116</v>
      </c>
      <c r="H5" s="977">
        <v>41529</v>
      </c>
      <c r="I5" s="977">
        <v>41960</v>
      </c>
      <c r="J5" s="977">
        <v>42885</v>
      </c>
      <c r="K5" s="977">
        <v>42620</v>
      </c>
      <c r="L5" s="977">
        <v>42600</v>
      </c>
      <c r="M5" s="977">
        <v>42627</v>
      </c>
      <c r="N5" s="971">
        <v>43318.633182844264</v>
      </c>
      <c r="O5" s="971">
        <v>43742.162528216722</v>
      </c>
      <c r="P5" s="971">
        <v>44165.691873589181</v>
      </c>
      <c r="Q5" s="971">
        <v>44589.22121896164</v>
      </c>
      <c r="R5" s="971">
        <v>45012.750564334099</v>
      </c>
      <c r="S5" s="971">
        <v>45436.279909706558</v>
      </c>
      <c r="T5" s="971">
        <v>45859.809255079017</v>
      </c>
      <c r="U5" s="978">
        <v>46614</v>
      </c>
      <c r="V5" s="971">
        <v>46706.867945823935</v>
      </c>
      <c r="W5" s="971">
        <v>47130.397291196394</v>
      </c>
      <c r="X5" s="971">
        <v>47553.926636568853</v>
      </c>
      <c r="Y5" s="971">
        <v>47977.455981941312</v>
      </c>
      <c r="Z5" s="971">
        <v>48400.985327313771</v>
      </c>
      <c r="AA5" s="971">
        <v>48824.514672686229</v>
      </c>
      <c r="AB5" s="971">
        <v>49248.044018058688</v>
      </c>
      <c r="AC5" s="971">
        <v>49671.573363431147</v>
      </c>
      <c r="AD5" s="971">
        <v>50095.102708803606</v>
      </c>
      <c r="AE5" s="978">
        <v>50608</v>
      </c>
      <c r="AF5" s="971">
        <v>50942.161399548524</v>
      </c>
      <c r="AG5" s="971">
        <v>51365.690744920983</v>
      </c>
      <c r="AH5" s="971">
        <v>51789.220090293442</v>
      </c>
      <c r="AI5" s="971">
        <v>52212.749435665901</v>
      </c>
      <c r="AJ5" s="971">
        <v>52636.27878103836</v>
      </c>
      <c r="AK5" s="971">
        <v>53059.808126410819</v>
      </c>
      <c r="AL5" s="971">
        <v>53483.337471783278</v>
      </c>
      <c r="AM5" s="971">
        <v>53906.866817155736</v>
      </c>
      <c r="AN5" s="971">
        <v>54330.396162528195</v>
      </c>
      <c r="AO5" s="978">
        <v>54602</v>
      </c>
      <c r="AP5" s="971">
        <v>55177.454853273113</v>
      </c>
      <c r="AQ5" s="971">
        <v>55600.984198645572</v>
      </c>
      <c r="AR5" s="971">
        <v>56024.513544018031</v>
      </c>
      <c r="AS5" s="971">
        <v>56448.04288939049</v>
      </c>
      <c r="AT5" s="971">
        <v>56871.572234762949</v>
      </c>
      <c r="AU5" s="971">
        <v>57295.101580135408</v>
      </c>
      <c r="AV5" s="971">
        <v>57718.630925507867</v>
      </c>
      <c r="AW5" s="971">
        <v>58142.160270880326</v>
      </c>
      <c r="AX5" s="971">
        <v>58565.689616252785</v>
      </c>
      <c r="AY5" s="971">
        <v>58989.218961625244</v>
      </c>
    </row>
    <row r="6" spans="1:51">
      <c r="A6" s="701" t="s">
        <v>2400</v>
      </c>
      <c r="B6" s="977">
        <v>3311.7415173371005</v>
      </c>
      <c r="C6" s="977">
        <v>3294.6323107976773</v>
      </c>
      <c r="D6" s="977">
        <v>3530.1834680908933</v>
      </c>
      <c r="E6" s="977">
        <v>4339.2926581147804</v>
      </c>
      <c r="F6" s="977">
        <v>4154.1280586874109</v>
      </c>
      <c r="G6" s="977">
        <v>4143.4260498384028</v>
      </c>
      <c r="H6" s="977">
        <v>4239.7524609126322</v>
      </c>
      <c r="I6" s="977">
        <v>4248.39220830664</v>
      </c>
      <c r="J6" s="977">
        <v>4429.2016298977569</v>
      </c>
      <c r="K6" s="977">
        <v>4199.5780529028179</v>
      </c>
      <c r="L6" s="977">
        <v>4153.5401032892514</v>
      </c>
      <c r="M6" s="979">
        <f>L6+(L6*$F1)</f>
        <v>4127.6612291312003</v>
      </c>
      <c r="N6" s="979">
        <f t="shared" ref="N6:AY6" si="1">M6+(M6*$F1)</f>
        <v>4101.943594809778</v>
      </c>
      <c r="O6" s="979">
        <f t="shared" si="1"/>
        <v>4076.3861957107679</v>
      </c>
      <c r="P6" s="979">
        <f t="shared" si="1"/>
        <v>4050.9880334792592</v>
      </c>
      <c r="Q6" s="979">
        <f t="shared" si="1"/>
        <v>4025.7481159806507</v>
      </c>
      <c r="R6" s="979">
        <f t="shared" si="1"/>
        <v>4000.6654572618936</v>
      </c>
      <c r="S6" s="979">
        <f t="shared" si="1"/>
        <v>3975.7390775129766</v>
      </c>
      <c r="T6" s="979">
        <f t="shared" si="1"/>
        <v>3950.9680030286522</v>
      </c>
      <c r="U6" s="979">
        <f t="shared" si="1"/>
        <v>3926.3512661704008</v>
      </c>
      <c r="V6" s="979">
        <f t="shared" si="1"/>
        <v>3901.88790532863</v>
      </c>
      <c r="W6" s="979">
        <f t="shared" si="1"/>
        <v>3877.5769648851133</v>
      </c>
      <c r="X6" s="979">
        <f t="shared" si="1"/>
        <v>3853.4174951756586</v>
      </c>
      <c r="Y6" s="979">
        <f t="shared" si="1"/>
        <v>3829.4085524530124</v>
      </c>
      <c r="Z6" s="979">
        <f t="shared" si="1"/>
        <v>3805.5491988499934</v>
      </c>
      <c r="AA6" s="979">
        <f t="shared" si="1"/>
        <v>3781.8385023428568</v>
      </c>
      <c r="AB6" s="979">
        <f t="shared" si="1"/>
        <v>3758.2755367148857</v>
      </c>
      <c r="AC6" s="979">
        <f t="shared" si="1"/>
        <v>3734.8593815202107</v>
      </c>
      <c r="AD6" s="979">
        <f t="shared" si="1"/>
        <v>3711.5891220478543</v>
      </c>
      <c r="AE6" s="979">
        <f t="shared" si="1"/>
        <v>3688.463849285999</v>
      </c>
      <c r="AF6" s="979">
        <f t="shared" si="1"/>
        <v>3665.4826598864784</v>
      </c>
      <c r="AG6" s="979">
        <f t="shared" si="1"/>
        <v>3642.6446561294897</v>
      </c>
      <c r="AH6" s="979">
        <f t="shared" si="1"/>
        <v>3619.9489458885264</v>
      </c>
      <c r="AI6" s="979">
        <f t="shared" si="1"/>
        <v>3597.3946425955273</v>
      </c>
      <c r="AJ6" s="979">
        <f t="shared" si="1"/>
        <v>3574.9808652062461</v>
      </c>
      <c r="AK6" s="979">
        <f t="shared" si="1"/>
        <v>3552.706738165833</v>
      </c>
      <c r="AL6" s="979">
        <f t="shared" si="1"/>
        <v>3530.5713913746354</v>
      </c>
      <c r="AM6" s="979">
        <f t="shared" si="1"/>
        <v>3508.5739601542059</v>
      </c>
      <c r="AN6" s="979">
        <f t="shared" si="1"/>
        <v>3486.7135852135275</v>
      </c>
      <c r="AO6" s="979">
        <f t="shared" si="1"/>
        <v>3464.9894126154459</v>
      </c>
      <c r="AP6" s="979">
        <f t="shared" si="1"/>
        <v>3443.4005937433121</v>
      </c>
      <c r="AQ6" s="979">
        <f t="shared" si="1"/>
        <v>3421.9462852678325</v>
      </c>
      <c r="AR6" s="979">
        <f t="shared" si="1"/>
        <v>3400.6256491141262</v>
      </c>
      <c r="AS6" s="979">
        <f t="shared" si="1"/>
        <v>3379.4378524289864</v>
      </c>
      <c r="AT6" s="979">
        <f t="shared" si="1"/>
        <v>3358.3820675483475</v>
      </c>
      <c r="AU6" s="979">
        <f t="shared" si="1"/>
        <v>3337.4574719649527</v>
      </c>
      <c r="AV6" s="979">
        <f t="shared" si="1"/>
        <v>3316.6632482962245</v>
      </c>
      <c r="AW6" s="979">
        <f t="shared" si="1"/>
        <v>3295.9985842523356</v>
      </c>
      <c r="AX6" s="979">
        <f t="shared" si="1"/>
        <v>3275.462672604478</v>
      </c>
      <c r="AY6" s="979">
        <f t="shared" si="1"/>
        <v>3255.0547111533297</v>
      </c>
    </row>
    <row r="7" spans="1:51">
      <c r="A7" s="701" t="s">
        <v>2402</v>
      </c>
      <c r="B7" s="701"/>
      <c r="C7" s="701"/>
      <c r="D7" s="701"/>
      <c r="E7" s="701"/>
      <c r="F7" s="701"/>
      <c r="G7" s="701"/>
      <c r="H7" s="701"/>
      <c r="I7" s="701"/>
      <c r="J7" s="701"/>
      <c r="K7" s="701"/>
      <c r="L7" s="701"/>
      <c r="M7" s="701"/>
      <c r="N7" s="701"/>
      <c r="O7" s="701"/>
      <c r="P7" s="701"/>
      <c r="Q7" s="701"/>
      <c r="R7" s="701"/>
      <c r="S7" s="701"/>
      <c r="T7" s="701"/>
      <c r="U7" s="701"/>
      <c r="V7" s="701"/>
      <c r="W7" s="701"/>
      <c r="X7" s="701"/>
      <c r="Y7" s="701"/>
      <c r="Z7" s="701"/>
      <c r="AA7" s="701"/>
      <c r="AB7" s="701"/>
      <c r="AC7" s="701"/>
      <c r="AD7" s="701"/>
      <c r="AE7" s="701"/>
      <c r="AF7" s="701"/>
      <c r="AG7" s="701"/>
      <c r="AH7" s="701"/>
      <c r="AI7" s="701"/>
      <c r="AJ7" s="701"/>
      <c r="AK7" s="701"/>
      <c r="AL7" s="701"/>
      <c r="AM7" s="701"/>
      <c r="AN7" s="701"/>
      <c r="AO7" s="701"/>
      <c r="AP7" s="701"/>
      <c r="AQ7" s="701"/>
      <c r="AR7" s="701"/>
      <c r="AS7" s="701"/>
      <c r="AT7" s="701"/>
      <c r="AU7" s="701"/>
      <c r="AV7" s="701"/>
      <c r="AW7" s="701"/>
      <c r="AX7" s="701"/>
      <c r="AY7" s="701"/>
    </row>
    <row r="8" spans="1:51">
      <c r="A8" s="701"/>
      <c r="B8" s="701"/>
      <c r="C8" s="701"/>
      <c r="D8" s="701"/>
      <c r="E8" s="703"/>
      <c r="F8" s="980"/>
      <c r="G8" s="701"/>
      <c r="H8" s="701"/>
      <c r="I8" s="701"/>
      <c r="J8" s="701"/>
      <c r="K8" s="701"/>
      <c r="L8" s="701"/>
      <c r="M8" s="701"/>
      <c r="N8" s="701"/>
      <c r="O8" s="701"/>
      <c r="P8" s="701"/>
      <c r="Q8" s="701"/>
      <c r="R8" s="701"/>
      <c r="S8" s="701"/>
      <c r="T8" s="701"/>
      <c r="U8" s="701"/>
      <c r="V8" s="701"/>
      <c r="W8" s="701"/>
      <c r="X8" s="701"/>
      <c r="Y8" s="701"/>
      <c r="Z8" s="701"/>
      <c r="AA8" s="701"/>
      <c r="AB8" s="701"/>
      <c r="AC8" s="701"/>
      <c r="AD8" s="701"/>
      <c r="AE8" s="701"/>
      <c r="AF8" s="701"/>
      <c r="AG8" s="701"/>
      <c r="AH8" s="701"/>
      <c r="AI8" s="701"/>
      <c r="AJ8" s="701"/>
      <c r="AK8" s="701"/>
      <c r="AL8" s="701"/>
      <c r="AM8" s="701"/>
      <c r="AN8" s="701"/>
      <c r="AO8" s="701"/>
      <c r="AP8" s="701"/>
      <c r="AQ8" s="701"/>
      <c r="AR8" s="701"/>
      <c r="AS8" s="701"/>
      <c r="AT8" s="701"/>
      <c r="AU8" s="701"/>
      <c r="AV8" s="701"/>
      <c r="AW8" s="701"/>
      <c r="AX8" s="701"/>
      <c r="AY8" s="701"/>
    </row>
    <row r="9" spans="1:51">
      <c r="A9" s="701"/>
      <c r="B9" s="701"/>
      <c r="C9" s="701"/>
      <c r="D9" s="701"/>
      <c r="E9" s="701"/>
      <c r="F9" s="701"/>
      <c r="G9" s="701"/>
      <c r="H9" s="701"/>
      <c r="I9" s="701"/>
      <c r="J9" s="701"/>
      <c r="K9" s="701"/>
      <c r="L9" s="701"/>
      <c r="M9" s="701"/>
      <c r="N9" s="701"/>
      <c r="O9" s="701"/>
      <c r="P9" s="701"/>
      <c r="Q9" s="701"/>
      <c r="R9" s="701"/>
      <c r="S9" s="701"/>
      <c r="T9" s="701"/>
      <c r="U9" s="701"/>
      <c r="V9" s="701"/>
      <c r="W9" s="701"/>
      <c r="X9" s="701"/>
      <c r="Y9" s="701"/>
      <c r="Z9" s="701"/>
      <c r="AA9" s="701"/>
      <c r="AB9" s="701"/>
      <c r="AC9" s="701"/>
      <c r="AD9" s="701"/>
      <c r="AE9" s="701"/>
      <c r="AF9" s="701"/>
      <c r="AG9" s="701"/>
      <c r="AH9" s="701"/>
      <c r="AI9" s="701"/>
      <c r="AJ9" s="701"/>
      <c r="AK9" s="701"/>
      <c r="AL9" s="701"/>
      <c r="AM9" s="701"/>
      <c r="AN9" s="701"/>
      <c r="AO9" s="701"/>
      <c r="AP9" s="701"/>
      <c r="AQ9" s="701"/>
      <c r="AR9" s="701"/>
      <c r="AS9" s="701"/>
      <c r="AT9" s="701"/>
      <c r="AU9" s="701"/>
      <c r="AV9" s="701"/>
      <c r="AW9" s="701"/>
      <c r="AX9" s="701"/>
      <c r="AY9" s="701"/>
    </row>
    <row r="10" spans="1:51">
      <c r="A10" s="701"/>
      <c r="B10" s="976"/>
      <c r="C10" s="976"/>
      <c r="D10" s="976"/>
      <c r="E10" s="976"/>
      <c r="F10" s="976"/>
      <c r="G10" s="976"/>
      <c r="H10" s="976"/>
      <c r="I10" s="976"/>
      <c r="J10" s="976"/>
      <c r="K10" s="976"/>
      <c r="L10" s="976"/>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c r="AL10" s="971"/>
      <c r="AM10" s="971"/>
      <c r="AN10" s="971"/>
      <c r="AO10" s="971"/>
      <c r="AP10" s="971"/>
      <c r="AQ10" s="971"/>
      <c r="AR10" s="971"/>
      <c r="AS10" s="971"/>
      <c r="AT10" s="971"/>
      <c r="AU10" s="971"/>
      <c r="AV10" s="971"/>
      <c r="AW10" s="971"/>
      <c r="AX10" s="971"/>
      <c r="AY10" s="971"/>
    </row>
    <row r="11" spans="1:51">
      <c r="A11" s="701"/>
      <c r="B11" s="977"/>
      <c r="C11" s="977"/>
      <c r="D11" s="977"/>
      <c r="E11" s="977"/>
      <c r="F11" s="977"/>
      <c r="G11" s="977"/>
      <c r="H11" s="977"/>
      <c r="I11" s="977"/>
      <c r="J11" s="977"/>
      <c r="K11" s="977"/>
      <c r="L11" s="977"/>
      <c r="M11" s="977"/>
      <c r="N11" s="971"/>
      <c r="O11" s="971"/>
      <c r="P11" s="971"/>
      <c r="Q11" s="971"/>
      <c r="R11" s="971"/>
      <c r="S11" s="971"/>
      <c r="T11" s="971"/>
      <c r="U11" s="978"/>
      <c r="V11" s="971"/>
      <c r="W11" s="971"/>
      <c r="X11" s="971"/>
      <c r="Y11" s="971"/>
      <c r="Z11" s="971"/>
      <c r="AA11" s="971"/>
      <c r="AB11" s="971"/>
      <c r="AC11" s="971"/>
      <c r="AD11" s="971"/>
      <c r="AE11" s="978"/>
      <c r="AF11" s="971"/>
      <c r="AG11" s="971"/>
      <c r="AH11" s="971"/>
      <c r="AI11" s="971"/>
      <c r="AJ11" s="971"/>
      <c r="AK11" s="971"/>
      <c r="AL11" s="971"/>
      <c r="AM11" s="971"/>
      <c r="AN11" s="971"/>
      <c r="AO11" s="978"/>
      <c r="AP11" s="971"/>
      <c r="AQ11" s="971"/>
      <c r="AR11" s="971"/>
      <c r="AS11" s="971"/>
      <c r="AT11" s="971"/>
      <c r="AU11" s="971"/>
      <c r="AV11" s="971"/>
      <c r="AW11" s="971"/>
      <c r="AX11" s="971"/>
      <c r="AY11" s="971"/>
    </row>
    <row r="12" spans="1:51">
      <c r="A12" s="701"/>
      <c r="B12" s="977"/>
      <c r="C12" s="977"/>
      <c r="D12" s="977"/>
      <c r="E12" s="977"/>
      <c r="F12" s="977"/>
      <c r="G12" s="977"/>
      <c r="H12" s="977"/>
      <c r="I12" s="977"/>
      <c r="J12" s="977"/>
      <c r="K12" s="977"/>
      <c r="L12" s="977"/>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c r="AT12" s="979"/>
      <c r="AU12" s="979"/>
      <c r="AV12" s="979"/>
      <c r="AW12" s="979"/>
      <c r="AX12" s="979"/>
      <c r="AY12" s="979"/>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dimension ref="A1:S32"/>
  <sheetViews>
    <sheetView workbookViewId="0">
      <selection activeCell="Q3" sqref="Q3:R3"/>
    </sheetView>
  </sheetViews>
  <sheetFormatPr defaultRowHeight="15"/>
  <cols>
    <col min="17" max="17" width="15.28515625" bestFit="1" customWidth="1"/>
  </cols>
  <sheetData>
    <row r="1" spans="1:18" s="697" customFormat="1">
      <c r="A1" s="266" t="s">
        <v>974</v>
      </c>
      <c r="B1" s="909" t="s">
        <v>975</v>
      </c>
      <c r="C1" s="909"/>
      <c r="D1" s="909"/>
      <c r="E1" s="909"/>
      <c r="F1" s="909"/>
      <c r="G1" s="909"/>
      <c r="H1" s="71"/>
    </row>
    <row r="2" spans="1:18">
      <c r="A2" s="217"/>
      <c r="B2" s="45"/>
      <c r="C2" s="45"/>
      <c r="D2" s="45"/>
      <c r="E2" s="45"/>
      <c r="F2" s="45"/>
      <c r="G2" s="45"/>
      <c r="H2" s="69"/>
    </row>
    <row r="3" spans="1:18">
      <c r="R3" s="12"/>
    </row>
    <row r="30" spans="17:19" ht="56.25" customHeight="1"/>
    <row r="31" spans="17:19" ht="50.25" customHeight="1">
      <c r="Q31" s="48" t="s">
        <v>976</v>
      </c>
      <c r="R31">
        <f>(116090+124340)/2/1000000</f>
        <v>0.120215</v>
      </c>
      <c r="S31" t="s">
        <v>978</v>
      </c>
    </row>
    <row r="32" spans="17:19" ht="51" customHeight="1">
      <c r="Q32" s="48" t="s">
        <v>977</v>
      </c>
      <c r="R32">
        <f>(128450+137380)/2/1000000</f>
        <v>0.13291500000000001</v>
      </c>
      <c r="S32" t="s">
        <v>978</v>
      </c>
    </row>
  </sheetData>
  <hyperlinks>
    <hyperlink ref="B1" r:id="rId1"/>
  </hyperlinks>
  <pageMargins left="0.7" right="0.7" top="0.75" bottom="0.75" header="0.3" footer="0.3"/>
  <drawing r:id="rId2"/>
</worksheet>
</file>

<file path=xl/worksheets/sheet49.xml><?xml version="1.0" encoding="utf-8"?>
<worksheet xmlns="http://schemas.openxmlformats.org/spreadsheetml/2006/main" xmlns:r="http://schemas.openxmlformats.org/officeDocument/2006/relationships">
  <dimension ref="A1:P59"/>
  <sheetViews>
    <sheetView workbookViewId="0"/>
  </sheetViews>
  <sheetFormatPr defaultRowHeight="15"/>
  <cols>
    <col min="1" max="1" width="12" style="55" customWidth="1"/>
    <col min="2" max="3" width="12.140625" customWidth="1"/>
    <col min="4" max="4" width="15.7109375" customWidth="1"/>
    <col min="5" max="5" width="12.5703125" customWidth="1"/>
    <col min="6" max="6" width="13.5703125" customWidth="1"/>
    <col min="7" max="7" width="15.140625" customWidth="1"/>
    <col min="8" max="8" width="13.85546875" customWidth="1"/>
    <col min="9" max="9" width="13.7109375" customWidth="1"/>
    <col min="10" max="10" width="11.140625" bestFit="1" customWidth="1"/>
    <col min="11" max="11" width="12" customWidth="1"/>
    <col min="12" max="13" width="11.140625" bestFit="1" customWidth="1"/>
    <col min="14" max="14" width="12.7109375" bestFit="1" customWidth="1"/>
    <col min="16" max="16" width="12.28515625" customWidth="1"/>
  </cols>
  <sheetData>
    <row r="1" spans="1:14" s="697" customFormat="1">
      <c r="A1" s="910" t="s">
        <v>2264</v>
      </c>
      <c r="B1" s="73"/>
      <c r="C1" s="883"/>
    </row>
    <row r="2" spans="1:14" s="697" customFormat="1">
      <c r="A2" s="12"/>
      <c r="B2" s="12"/>
      <c r="C2" s="12"/>
      <c r="D2" s="12"/>
      <c r="E2" s="12"/>
      <c r="F2" s="12"/>
      <c r="G2" s="12"/>
    </row>
    <row r="3" spans="1:14">
      <c r="B3" s="1" t="s">
        <v>1993</v>
      </c>
      <c r="C3" s="1"/>
    </row>
    <row r="4" spans="1:14" ht="15.75" thickBot="1">
      <c r="B4" s="1" t="s">
        <v>1994</v>
      </c>
      <c r="C4" s="1202" t="s">
        <v>1995</v>
      </c>
      <c r="D4" s="1202"/>
      <c r="E4" s="1202"/>
      <c r="F4" s="1202"/>
    </row>
    <row r="5" spans="1:14" ht="19.5" thickTop="1">
      <c r="C5" s="1203" t="s">
        <v>1996</v>
      </c>
      <c r="D5" s="1204"/>
      <c r="E5" s="1204"/>
      <c r="F5" s="1205"/>
      <c r="H5" t="s">
        <v>2066</v>
      </c>
    </row>
    <row r="6" spans="1:14">
      <c r="C6" s="571"/>
      <c r="D6" s="572" t="s">
        <v>1997</v>
      </c>
      <c r="E6" s="33"/>
      <c r="F6" s="573"/>
      <c r="H6">
        <v>2006</v>
      </c>
      <c r="I6">
        <v>2007</v>
      </c>
      <c r="J6">
        <v>2008</v>
      </c>
      <c r="K6">
        <v>2009</v>
      </c>
      <c r="L6">
        <v>2010</v>
      </c>
      <c r="M6">
        <v>2011</v>
      </c>
      <c r="N6">
        <v>2012</v>
      </c>
    </row>
    <row r="7" spans="1:14" ht="15.75" thickBot="1">
      <c r="C7" s="574" t="s">
        <v>1998</v>
      </c>
      <c r="D7" s="575" t="s">
        <v>1999</v>
      </c>
      <c r="E7" s="576" t="s">
        <v>2000</v>
      </c>
      <c r="F7" s="577" t="s">
        <v>2001</v>
      </c>
      <c r="H7" s="297">
        <f>SUM(B28:B31)</f>
        <v>960930223</v>
      </c>
      <c r="I7" s="297">
        <f>SUM(B32:B35)</f>
        <v>947613034</v>
      </c>
      <c r="J7" s="297">
        <f>SUM(B36:B38,C39)</f>
        <v>924653551.71428573</v>
      </c>
      <c r="K7" s="297">
        <f>SUM(C40:C43)</f>
        <v>889709292</v>
      </c>
      <c r="L7" s="297">
        <f>SUM(C44,B45:B47)</f>
        <v>857398382.28571427</v>
      </c>
      <c r="M7" s="297">
        <f>SUM(B48:B51)</f>
        <v>971735966</v>
      </c>
      <c r="N7" s="297">
        <f>SUM(B52:B55)</f>
        <v>1130198900</v>
      </c>
    </row>
    <row r="8" spans="1:14">
      <c r="C8" s="578" t="s">
        <v>2002</v>
      </c>
      <c r="D8" s="579">
        <v>525939.28</v>
      </c>
      <c r="E8" s="33"/>
      <c r="F8" s="580"/>
    </row>
    <row r="9" spans="1:14">
      <c r="C9" s="578" t="s">
        <v>2003</v>
      </c>
      <c r="D9" s="579">
        <v>603729.09</v>
      </c>
      <c r="E9" s="33"/>
      <c r="F9" s="580"/>
    </row>
    <row r="10" spans="1:14">
      <c r="C10" s="578" t="s">
        <v>2004</v>
      </c>
      <c r="D10" s="579">
        <v>611677.73</v>
      </c>
      <c r="E10" s="33"/>
      <c r="F10" s="580"/>
    </row>
    <row r="11" spans="1:14">
      <c r="C11" s="578" t="s">
        <v>2005</v>
      </c>
      <c r="D11" s="579">
        <f>(G50*0.76)*(1.57/1000)</f>
        <v>456364.39720000001</v>
      </c>
      <c r="E11" s="579">
        <v>445217.7</v>
      </c>
      <c r="F11" s="581">
        <f t="shared" ref="F11:F17" si="0">D11-E11</f>
        <v>11146.697199999995</v>
      </c>
    </row>
    <row r="12" spans="1:14" ht="15.75" thickBot="1">
      <c r="C12" s="574" t="s">
        <v>2006</v>
      </c>
      <c r="D12" s="582">
        <f>(G51*0.76)*(1.57/1000)</f>
        <v>559279.09039999999</v>
      </c>
      <c r="E12" s="582">
        <v>542770.79</v>
      </c>
      <c r="F12" s="583">
        <f t="shared" si="0"/>
        <v>16508.300399999949</v>
      </c>
    </row>
    <row r="13" spans="1:14">
      <c r="C13" s="578" t="s">
        <v>2007</v>
      </c>
      <c r="D13" s="579">
        <f>G52*0.76*1.57/1000</f>
        <v>612631.83520000009</v>
      </c>
      <c r="E13" s="579">
        <v>575852.97</v>
      </c>
      <c r="F13" s="581">
        <f t="shared" si="0"/>
        <v>36778.865200000117</v>
      </c>
    </row>
    <row r="14" spans="1:14">
      <c r="C14" s="578" t="s">
        <v>2008</v>
      </c>
      <c r="D14" s="579">
        <f>G53*0.76*1.57/1000</f>
        <v>547590.50320000004</v>
      </c>
      <c r="E14" s="579">
        <v>525247.37</v>
      </c>
      <c r="F14" s="581">
        <f t="shared" si="0"/>
        <v>22343.13320000004</v>
      </c>
    </row>
    <row r="15" spans="1:14">
      <c r="C15" s="578" t="s">
        <v>2009</v>
      </c>
      <c r="D15" s="579">
        <f>G54*0.76*1.63/1000</f>
        <v>527736.2328</v>
      </c>
      <c r="E15" s="579">
        <v>507803.08</v>
      </c>
      <c r="F15" s="581">
        <f t="shared" si="0"/>
        <v>19933.152799999982</v>
      </c>
    </row>
    <row r="16" spans="1:14">
      <c r="C16" s="578" t="s">
        <v>2010</v>
      </c>
      <c r="D16" s="579">
        <f>G55*0.76*1.63/1000</f>
        <v>522968.09159999999</v>
      </c>
      <c r="E16" s="579">
        <v>505483.76</v>
      </c>
      <c r="F16" s="581">
        <f t="shared" si="0"/>
        <v>17484.331599999976</v>
      </c>
    </row>
    <row r="17" spans="1:16">
      <c r="C17" s="578" t="s">
        <v>2011</v>
      </c>
      <c r="D17" s="579">
        <f>G56*0.76*1.63/1000</f>
        <v>682192.29440000001</v>
      </c>
      <c r="E17" s="579">
        <v>658758.99</v>
      </c>
      <c r="F17" s="581">
        <f t="shared" si="0"/>
        <v>23433.304400000023</v>
      </c>
    </row>
    <row r="18" spans="1:16">
      <c r="C18" s="578"/>
      <c r="D18" s="579"/>
      <c r="E18" s="579"/>
      <c r="F18" s="584"/>
    </row>
    <row r="19" spans="1:16" ht="15.75" thickBot="1">
      <c r="C19" s="1206" t="s">
        <v>2012</v>
      </c>
      <c r="D19" s="1207"/>
      <c r="E19" s="1207"/>
      <c r="F19" s="585">
        <f>SUM(F11:F17)</f>
        <v>147627.78480000008</v>
      </c>
      <c r="H19" s="586">
        <f>F19/6</f>
        <v>24604.630800000014</v>
      </c>
    </row>
    <row r="20" spans="1:16" ht="15.75" thickTop="1">
      <c r="E20" s="297"/>
      <c r="F20" s="297"/>
      <c r="G20" s="297"/>
    </row>
    <row r="22" spans="1:16" ht="19.5" thickBot="1">
      <c r="A22" s="587" t="s">
        <v>2013</v>
      </c>
      <c r="L22" s="33"/>
      <c r="M22" s="33"/>
      <c r="N22" s="33"/>
      <c r="O22" s="33"/>
    </row>
    <row r="23" spans="1:16">
      <c r="A23" s="588"/>
      <c r="B23" s="1198" t="s">
        <v>2014</v>
      </c>
      <c r="C23" s="1199"/>
      <c r="D23" s="1199"/>
      <c r="E23" s="1199"/>
      <c r="F23" s="1199"/>
      <c r="G23" s="1199"/>
      <c r="H23" s="1208"/>
      <c r="I23" s="1198" t="s">
        <v>2015</v>
      </c>
      <c r="J23" s="1199"/>
      <c r="K23" s="1199"/>
      <c r="L23" s="1198" t="s">
        <v>2016</v>
      </c>
      <c r="M23" s="1199"/>
      <c r="N23" s="1199"/>
      <c r="O23" s="1199"/>
      <c r="P23" s="589"/>
    </row>
    <row r="24" spans="1:16">
      <c r="A24" s="590" t="s">
        <v>2017</v>
      </c>
      <c r="B24" s="1200" t="s">
        <v>2018</v>
      </c>
      <c r="C24" s="1201"/>
      <c r="D24" s="1201"/>
      <c r="E24" s="1201"/>
      <c r="F24" s="1201"/>
      <c r="G24" s="33" t="s">
        <v>2019</v>
      </c>
      <c r="H24" s="591"/>
      <c r="I24" s="589"/>
      <c r="J24" s="33"/>
      <c r="K24" s="591"/>
      <c r="L24" s="589"/>
      <c r="M24" s="33"/>
      <c r="N24" s="33"/>
      <c r="O24" s="591"/>
      <c r="P24" t="s">
        <v>2020</v>
      </c>
    </row>
    <row r="25" spans="1:16" ht="15.75" thickBot="1">
      <c r="A25" s="592"/>
      <c r="B25" s="593" t="s">
        <v>2021</v>
      </c>
      <c r="C25" s="576"/>
      <c r="D25" s="576" t="s">
        <v>2022</v>
      </c>
      <c r="E25" s="576" t="s">
        <v>2023</v>
      </c>
      <c r="F25" s="576" t="s">
        <v>2024</v>
      </c>
      <c r="G25" s="576" t="s">
        <v>2025</v>
      </c>
      <c r="H25" s="594" t="s">
        <v>2026</v>
      </c>
      <c r="I25" s="593" t="s">
        <v>2027</v>
      </c>
      <c r="J25" s="576" t="s">
        <v>2028</v>
      </c>
      <c r="K25" s="594" t="s">
        <v>2029</v>
      </c>
      <c r="L25" s="593" t="s">
        <v>2027</v>
      </c>
      <c r="M25" s="576" t="s">
        <v>2028</v>
      </c>
      <c r="N25" s="576" t="s">
        <v>2029</v>
      </c>
      <c r="O25" s="594" t="s">
        <v>2030</v>
      </c>
      <c r="P25" s="595" t="s">
        <v>2031</v>
      </c>
    </row>
    <row r="26" spans="1:16">
      <c r="A26" s="588"/>
      <c r="B26" s="596"/>
      <c r="C26" s="597"/>
      <c r="D26" s="597"/>
      <c r="E26" s="597"/>
      <c r="F26" s="597"/>
      <c r="G26" s="597"/>
      <c r="H26" s="598"/>
      <c r="I26" s="596"/>
      <c r="J26" s="597"/>
      <c r="K26" s="598"/>
      <c r="L26" s="596"/>
      <c r="M26" s="597"/>
      <c r="N26" s="597"/>
      <c r="O26" s="598"/>
    </row>
    <row r="27" spans="1:16">
      <c r="A27" s="599" t="s">
        <v>2032</v>
      </c>
      <c r="B27" s="600">
        <v>226428254</v>
      </c>
      <c r="C27" s="572"/>
      <c r="D27" s="572">
        <v>52155790</v>
      </c>
      <c r="E27" s="572">
        <v>10045021</v>
      </c>
      <c r="F27" s="572">
        <f t="shared" ref="F27:F38" si="1">SUM(B27:E27)</f>
        <v>288629065</v>
      </c>
      <c r="G27" s="572">
        <v>459319000</v>
      </c>
      <c r="H27" s="601">
        <f t="shared" ref="H27:H38" si="2">G27-F27</f>
        <v>170689935</v>
      </c>
      <c r="I27" s="602">
        <f t="shared" ref="I27:I38" si="3">B27/F27</f>
        <v>0.78449567786944807</v>
      </c>
      <c r="J27" s="603">
        <f t="shared" ref="J27:J38" si="4">D27/F27</f>
        <v>0.18070179453340918</v>
      </c>
      <c r="K27" s="604">
        <f t="shared" ref="K27:K38" si="5">E27/F27</f>
        <v>3.4802527597142717E-2</v>
      </c>
      <c r="L27" s="602">
        <f>B27/G27</f>
        <v>0.492965137518805</v>
      </c>
      <c r="M27" s="603">
        <f t="shared" ref="M27:M38" si="6">D27/G27</f>
        <v>0.11355025592235461</v>
      </c>
      <c r="N27" s="603">
        <f t="shared" ref="N27:N38" si="7">E27/G27</f>
        <v>2.1869378362314645E-2</v>
      </c>
      <c r="O27" s="604">
        <f t="shared" ref="O27:O38" si="8">H27/G27</f>
        <v>0.3716152281965257</v>
      </c>
      <c r="P27">
        <f>I27*G27</f>
        <v>360333770.26331699</v>
      </c>
    </row>
    <row r="28" spans="1:16">
      <c r="A28" s="599" t="s">
        <v>2033</v>
      </c>
      <c r="B28" s="600">
        <v>239518015</v>
      </c>
      <c r="C28" s="572"/>
      <c r="D28" s="572">
        <v>60408213</v>
      </c>
      <c r="E28" s="572">
        <v>10246933</v>
      </c>
      <c r="F28" s="572">
        <f t="shared" si="1"/>
        <v>310173161</v>
      </c>
      <c r="G28" s="572">
        <v>482751000</v>
      </c>
      <c r="H28" s="601">
        <f t="shared" si="2"/>
        <v>172577839</v>
      </c>
      <c r="I28" s="602">
        <f t="shared" si="3"/>
        <v>0.77220741545720006</v>
      </c>
      <c r="J28" s="603">
        <f t="shared" si="4"/>
        <v>0.19475641543337788</v>
      </c>
      <c r="K28" s="604">
        <f t="shared" si="5"/>
        <v>3.3036169109422073E-2</v>
      </c>
      <c r="L28" s="602">
        <f t="shared" ref="L28:L38" si="9">B28/G28</f>
        <v>0.49615229176117709</v>
      </c>
      <c r="M28" s="603">
        <f t="shared" si="6"/>
        <v>0.12513327367524874</v>
      </c>
      <c r="N28" s="603">
        <f t="shared" si="7"/>
        <v>2.1226124855256642E-2</v>
      </c>
      <c r="O28" s="604">
        <f t="shared" si="8"/>
        <v>0.35748830970831752</v>
      </c>
      <c r="P28">
        <f t="shared" ref="P28:P56" si="10">I28*G28</f>
        <v>372783902.01937878</v>
      </c>
    </row>
    <row r="29" spans="1:16">
      <c r="A29" s="599" t="s">
        <v>2034</v>
      </c>
      <c r="B29" s="600">
        <v>257707934</v>
      </c>
      <c r="C29" s="572"/>
      <c r="D29" s="572">
        <v>56643255</v>
      </c>
      <c r="E29" s="572">
        <v>9479370</v>
      </c>
      <c r="F29" s="572">
        <f t="shared" si="1"/>
        <v>323830559</v>
      </c>
      <c r="G29" s="572">
        <v>491684000</v>
      </c>
      <c r="H29" s="601">
        <f t="shared" si="2"/>
        <v>167853441</v>
      </c>
      <c r="I29" s="602">
        <f t="shared" si="3"/>
        <v>0.7958110401804297</v>
      </c>
      <c r="J29" s="603">
        <f t="shared" si="4"/>
        <v>0.17491633641653936</v>
      </c>
      <c r="K29" s="604">
        <f t="shared" si="5"/>
        <v>2.9272623403030967E-2</v>
      </c>
      <c r="L29" s="602">
        <f t="shared" si="9"/>
        <v>0.52413325225144602</v>
      </c>
      <c r="M29" s="603">
        <f t="shared" si="6"/>
        <v>0.11520255896063325</v>
      </c>
      <c r="N29" s="603">
        <f t="shared" si="7"/>
        <v>1.9279394895908755E-2</v>
      </c>
      <c r="O29" s="604">
        <f t="shared" si="8"/>
        <v>0.34138479389201193</v>
      </c>
      <c r="P29">
        <f t="shared" si="10"/>
        <v>391287555.48007441</v>
      </c>
    </row>
    <row r="30" spans="1:16">
      <c r="A30" s="599" t="s">
        <v>2035</v>
      </c>
      <c r="B30" s="600">
        <v>231486577</v>
      </c>
      <c r="C30" s="572"/>
      <c r="D30" s="572">
        <v>61934546</v>
      </c>
      <c r="E30" s="572">
        <v>10198401</v>
      </c>
      <c r="F30" s="572">
        <f t="shared" si="1"/>
        <v>303619524</v>
      </c>
      <c r="G30" s="572">
        <v>529099000</v>
      </c>
      <c r="H30" s="601">
        <f t="shared" si="2"/>
        <v>225479476</v>
      </c>
      <c r="I30" s="602">
        <f t="shared" si="3"/>
        <v>0.76242322611638114</v>
      </c>
      <c r="J30" s="603">
        <f t="shared" si="4"/>
        <v>0.20398736281531091</v>
      </c>
      <c r="K30" s="604">
        <f t="shared" si="5"/>
        <v>3.3589411068307977E-2</v>
      </c>
      <c r="L30" s="602">
        <f t="shared" si="9"/>
        <v>0.43751089493648637</v>
      </c>
      <c r="M30" s="603">
        <f t="shared" si="6"/>
        <v>0.11705663023366138</v>
      </c>
      <c r="N30" s="603">
        <f t="shared" si="7"/>
        <v>1.9275033594847089E-2</v>
      </c>
      <c r="O30" s="604">
        <f t="shared" si="8"/>
        <v>0.42615744123500515</v>
      </c>
      <c r="P30">
        <f t="shared" si="10"/>
        <v>403397366.51495117</v>
      </c>
    </row>
    <row r="31" spans="1:16">
      <c r="A31" s="599" t="s">
        <v>2036</v>
      </c>
      <c r="B31" s="600">
        <v>232217697</v>
      </c>
      <c r="C31" s="572"/>
      <c r="D31" s="572">
        <v>53661759</v>
      </c>
      <c r="E31" s="572">
        <v>11129350</v>
      </c>
      <c r="F31" s="572">
        <f t="shared" si="1"/>
        <v>297008806</v>
      </c>
      <c r="G31" s="572">
        <v>536435000</v>
      </c>
      <c r="H31" s="601">
        <f t="shared" si="2"/>
        <v>239426194</v>
      </c>
      <c r="I31" s="602">
        <f t="shared" si="3"/>
        <v>0.78185458581992351</v>
      </c>
      <c r="J31" s="603">
        <f t="shared" si="4"/>
        <v>0.18067396627963953</v>
      </c>
      <c r="K31" s="604">
        <f t="shared" si="5"/>
        <v>3.7471447900437001E-2</v>
      </c>
      <c r="L31" s="602">
        <f t="shared" si="9"/>
        <v>0.43289065217593931</v>
      </c>
      <c r="M31" s="603">
        <f t="shared" si="6"/>
        <v>0.10003403767464837</v>
      </c>
      <c r="N31" s="603">
        <f t="shared" si="7"/>
        <v>2.0746875203892363E-2</v>
      </c>
      <c r="O31" s="604">
        <f t="shared" si="8"/>
        <v>0.44632843494551994</v>
      </c>
      <c r="P31">
        <f t="shared" si="10"/>
        <v>419414164.74431068</v>
      </c>
    </row>
    <row r="32" spans="1:16">
      <c r="A32" s="599" t="s">
        <v>2037</v>
      </c>
      <c r="B32" s="600">
        <v>225540921</v>
      </c>
      <c r="C32" s="572"/>
      <c r="D32" s="572">
        <v>66050425</v>
      </c>
      <c r="E32" s="572">
        <v>9664422</v>
      </c>
      <c r="F32" s="572">
        <f t="shared" si="1"/>
        <v>301255768</v>
      </c>
      <c r="G32" s="572">
        <v>555118000</v>
      </c>
      <c r="H32" s="601">
        <f t="shared" si="2"/>
        <v>253862232</v>
      </c>
      <c r="I32" s="602">
        <f t="shared" si="3"/>
        <v>0.74866922050103291</v>
      </c>
      <c r="J32" s="603">
        <f t="shared" si="4"/>
        <v>0.21925032486016999</v>
      </c>
      <c r="K32" s="604">
        <f t="shared" si="5"/>
        <v>3.2080454638797155E-2</v>
      </c>
      <c r="L32" s="602">
        <f t="shared" si="9"/>
        <v>0.4062936546824279</v>
      </c>
      <c r="M32" s="603">
        <f t="shared" si="6"/>
        <v>0.11898447717422242</v>
      </c>
      <c r="N32" s="603">
        <f t="shared" si="7"/>
        <v>1.7409671457239723E-2</v>
      </c>
      <c r="O32" s="604">
        <f t="shared" si="8"/>
        <v>0.45731219668611001</v>
      </c>
      <c r="P32">
        <f t="shared" si="10"/>
        <v>415599760.3460924</v>
      </c>
    </row>
    <row r="33" spans="1:16">
      <c r="A33" s="599" t="s">
        <v>2038</v>
      </c>
      <c r="B33" s="600">
        <v>218780820</v>
      </c>
      <c r="C33" s="572"/>
      <c r="D33" s="572">
        <v>58191913</v>
      </c>
      <c r="E33" s="572">
        <v>9870158</v>
      </c>
      <c r="F33" s="572">
        <f t="shared" si="1"/>
        <v>286842891</v>
      </c>
      <c r="G33" s="572">
        <v>463474000</v>
      </c>
      <c r="H33" s="601">
        <f t="shared" si="2"/>
        <v>176631109</v>
      </c>
      <c r="I33" s="602">
        <f t="shared" si="3"/>
        <v>0.76272003547753953</v>
      </c>
      <c r="J33" s="603">
        <f t="shared" si="4"/>
        <v>0.20287033364197965</v>
      </c>
      <c r="K33" s="604">
        <f t="shared" si="5"/>
        <v>3.4409630880480845E-2</v>
      </c>
      <c r="L33" s="602">
        <f t="shared" si="9"/>
        <v>0.47204550848591292</v>
      </c>
      <c r="M33" s="603">
        <f t="shared" si="6"/>
        <v>0.12555593841294227</v>
      </c>
      <c r="N33" s="603">
        <f t="shared" si="7"/>
        <v>2.1296033865977379E-2</v>
      </c>
      <c r="O33" s="604">
        <f t="shared" si="8"/>
        <v>0.38110251923516747</v>
      </c>
      <c r="P33">
        <f t="shared" si="10"/>
        <v>353500905.72291714</v>
      </c>
    </row>
    <row r="34" spans="1:16">
      <c r="A34" s="599" t="s">
        <v>2039</v>
      </c>
      <c r="B34" s="600">
        <v>255384834</v>
      </c>
      <c r="C34" s="572"/>
      <c r="D34" s="572">
        <v>61119590</v>
      </c>
      <c r="E34" s="572">
        <v>9554728</v>
      </c>
      <c r="F34" s="572">
        <f t="shared" si="1"/>
        <v>326059152</v>
      </c>
      <c r="G34" s="572">
        <v>421809000</v>
      </c>
      <c r="H34" s="601">
        <f t="shared" si="2"/>
        <v>95749848</v>
      </c>
      <c r="I34" s="602">
        <f t="shared" si="3"/>
        <v>0.78324694287372743</v>
      </c>
      <c r="J34" s="603">
        <f t="shared" si="4"/>
        <v>0.18744939261818358</v>
      </c>
      <c r="K34" s="604">
        <f t="shared" si="5"/>
        <v>2.9303664508089012E-2</v>
      </c>
      <c r="L34" s="602">
        <f t="shared" si="9"/>
        <v>0.60545136305768721</v>
      </c>
      <c r="M34" s="603">
        <f t="shared" si="6"/>
        <v>0.1448987337870932</v>
      </c>
      <c r="N34" s="603">
        <f t="shared" si="7"/>
        <v>2.2651787894520981E-2</v>
      </c>
      <c r="O34" s="604">
        <f t="shared" si="8"/>
        <v>0.22699811526069857</v>
      </c>
      <c r="P34">
        <f t="shared" si="10"/>
        <v>330380609.72662407</v>
      </c>
    </row>
    <row r="35" spans="1:16">
      <c r="A35" s="599" t="s">
        <v>2040</v>
      </c>
      <c r="B35" s="600">
        <v>247906459</v>
      </c>
      <c r="C35" s="572"/>
      <c r="D35" s="572">
        <v>60549394</v>
      </c>
      <c r="E35" s="572">
        <v>8994417</v>
      </c>
      <c r="F35" s="572">
        <f t="shared" si="1"/>
        <v>317450270</v>
      </c>
      <c r="G35" s="572">
        <v>448504000</v>
      </c>
      <c r="H35" s="601">
        <f t="shared" si="2"/>
        <v>131053730</v>
      </c>
      <c r="I35" s="602">
        <f t="shared" si="3"/>
        <v>0.78093006189599401</v>
      </c>
      <c r="J35" s="603">
        <f t="shared" si="4"/>
        <v>0.19073662781890216</v>
      </c>
      <c r="K35" s="604">
        <f t="shared" si="5"/>
        <v>2.8333310285103868E-2</v>
      </c>
      <c r="L35" s="602">
        <f t="shared" si="9"/>
        <v>0.55274079829834288</v>
      </c>
      <c r="M35" s="603">
        <f t="shared" si="6"/>
        <v>0.1350030189251378</v>
      </c>
      <c r="N35" s="603">
        <f t="shared" si="7"/>
        <v>2.0054262615272104E-2</v>
      </c>
      <c r="O35" s="604">
        <f t="shared" si="8"/>
        <v>0.29220192016124719</v>
      </c>
      <c r="P35">
        <f t="shared" si="10"/>
        <v>350250256.48060089</v>
      </c>
    </row>
    <row r="36" spans="1:16">
      <c r="A36" s="599" t="s">
        <v>2041</v>
      </c>
      <c r="B36" s="600">
        <v>203451885</v>
      </c>
      <c r="C36" s="572"/>
      <c r="D36" s="572">
        <v>80410071</v>
      </c>
      <c r="E36" s="572">
        <v>9882099</v>
      </c>
      <c r="F36" s="572">
        <f t="shared" si="1"/>
        <v>293744055</v>
      </c>
      <c r="G36" s="572">
        <v>461956000</v>
      </c>
      <c r="H36" s="601">
        <f t="shared" si="2"/>
        <v>168211945</v>
      </c>
      <c r="I36" s="602">
        <f t="shared" si="3"/>
        <v>0.69261617907467099</v>
      </c>
      <c r="J36" s="603">
        <f t="shared" si="4"/>
        <v>0.27374195198605805</v>
      </c>
      <c r="K36" s="604">
        <f t="shared" si="5"/>
        <v>3.3641868939270958E-2</v>
      </c>
      <c r="L36" s="602">
        <f t="shared" si="9"/>
        <v>0.44041398964403539</v>
      </c>
      <c r="M36" s="603">
        <f t="shared" si="6"/>
        <v>0.17406435028444267</v>
      </c>
      <c r="N36" s="603">
        <f t="shared" si="7"/>
        <v>2.1391861995514724E-2</v>
      </c>
      <c r="O36" s="604">
        <f t="shared" si="8"/>
        <v>0.36412979807600726</v>
      </c>
      <c r="P36">
        <f t="shared" si="10"/>
        <v>319958199.6206187</v>
      </c>
    </row>
    <row r="37" spans="1:16">
      <c r="A37" s="599" t="s">
        <v>2042</v>
      </c>
      <c r="B37" s="600">
        <v>259984935</v>
      </c>
      <c r="C37" s="572"/>
      <c r="D37" s="572">
        <v>56013716</v>
      </c>
      <c r="E37" s="572">
        <v>11397463</v>
      </c>
      <c r="F37" s="572">
        <f t="shared" si="1"/>
        <v>327396114</v>
      </c>
      <c r="G37" s="572">
        <v>449680000</v>
      </c>
      <c r="H37" s="601">
        <f t="shared" si="2"/>
        <v>122283886</v>
      </c>
      <c r="I37" s="605">
        <f t="shared" si="3"/>
        <v>0.79409902525599307</v>
      </c>
      <c r="J37" s="606">
        <f t="shared" si="4"/>
        <v>0.17108851817343196</v>
      </c>
      <c r="K37" s="607">
        <f t="shared" si="5"/>
        <v>3.4812456570574933E-2</v>
      </c>
      <c r="L37" s="605">
        <f t="shared" si="9"/>
        <v>0.57815543275217929</v>
      </c>
      <c r="M37" s="606">
        <f t="shared" si="6"/>
        <v>0.12456350293542075</v>
      </c>
      <c r="N37" s="606">
        <f t="shared" si="7"/>
        <v>2.5345719178082191E-2</v>
      </c>
      <c r="O37" s="607">
        <f t="shared" si="8"/>
        <v>0.27193534513431772</v>
      </c>
      <c r="P37">
        <f t="shared" si="10"/>
        <v>357090449.67711496</v>
      </c>
    </row>
    <row r="38" spans="1:16">
      <c r="A38" s="599" t="s">
        <v>2043</v>
      </c>
      <c r="B38" s="600">
        <v>231971873</v>
      </c>
      <c r="C38" s="572"/>
      <c r="D38" s="572">
        <v>54341974</v>
      </c>
      <c r="E38" s="572">
        <v>10546225</v>
      </c>
      <c r="F38" s="572">
        <f t="shared" si="1"/>
        <v>296860072</v>
      </c>
      <c r="G38" s="572">
        <v>411526000</v>
      </c>
      <c r="H38" s="601">
        <f t="shared" si="2"/>
        <v>114665928</v>
      </c>
      <c r="I38" s="605">
        <f t="shared" si="3"/>
        <v>0.78141823330151317</v>
      </c>
      <c r="J38" s="606">
        <f t="shared" si="4"/>
        <v>0.18305585400518262</v>
      </c>
      <c r="K38" s="607">
        <f t="shared" si="5"/>
        <v>3.5525912693304205E-2</v>
      </c>
      <c r="L38" s="605">
        <f t="shared" si="9"/>
        <v>0.56368704043000928</v>
      </c>
      <c r="M38" s="606">
        <f t="shared" si="6"/>
        <v>0.13204991665168178</v>
      </c>
      <c r="N38" s="606">
        <f t="shared" si="7"/>
        <v>2.5627117120181956E-2</v>
      </c>
      <c r="O38" s="607">
        <f t="shared" si="8"/>
        <v>0.27863592579812696</v>
      </c>
      <c r="P38">
        <f t="shared" si="10"/>
        <v>321573919.87763852</v>
      </c>
    </row>
    <row r="39" spans="1:16">
      <c r="A39" s="599" t="s">
        <v>2044</v>
      </c>
      <c r="C39" s="219">
        <f>B$38-(B$38-B$45)*1/7</f>
        <v>229244858.7142857</v>
      </c>
      <c r="D39" s="572"/>
      <c r="E39" s="572"/>
      <c r="F39" s="572"/>
      <c r="G39" s="572"/>
      <c r="H39" s="601"/>
      <c r="I39" s="589"/>
      <c r="J39" s="33"/>
      <c r="K39" s="591"/>
      <c r="L39" s="589"/>
      <c r="M39" s="33"/>
      <c r="N39" s="33"/>
      <c r="O39" s="591"/>
    </row>
    <row r="40" spans="1:16">
      <c r="A40" s="599" t="s">
        <v>2045</v>
      </c>
      <c r="C40" s="219">
        <f>B$38-(B$38-B$45)*2/7</f>
        <v>226517844.42857143</v>
      </c>
      <c r="D40" s="572"/>
      <c r="E40" s="572"/>
      <c r="F40" s="572"/>
      <c r="G40" s="572"/>
      <c r="H40" s="601"/>
      <c r="I40" s="589"/>
      <c r="J40" s="33"/>
      <c r="K40" s="591"/>
      <c r="L40" s="589"/>
      <c r="M40" s="33"/>
      <c r="N40" s="33"/>
      <c r="O40" s="591"/>
    </row>
    <row r="41" spans="1:16">
      <c r="A41" s="599" t="s">
        <v>2046</v>
      </c>
      <c r="C41" s="219">
        <f>B$38-(B$38-B$45)*3/7</f>
        <v>223790830.14285713</v>
      </c>
      <c r="D41" s="572"/>
      <c r="E41" s="572"/>
      <c r="F41" s="572"/>
      <c r="G41" s="572"/>
      <c r="H41" s="601"/>
      <c r="I41" s="589"/>
      <c r="J41" s="33"/>
      <c r="K41" s="591"/>
      <c r="L41" s="589"/>
      <c r="M41" s="33"/>
      <c r="N41" s="33"/>
      <c r="O41" s="591"/>
    </row>
    <row r="42" spans="1:16">
      <c r="A42" s="599" t="s">
        <v>2047</v>
      </c>
      <c r="C42" s="219">
        <f>B$38-(B$38-B$45)*4/7</f>
        <v>221063815.85714287</v>
      </c>
      <c r="D42" s="572"/>
      <c r="E42" s="572"/>
      <c r="F42" s="572"/>
      <c r="G42" s="572"/>
      <c r="H42" s="601"/>
      <c r="I42" s="589"/>
      <c r="J42" s="33"/>
      <c r="K42" s="591"/>
      <c r="L42" s="589"/>
      <c r="M42" s="33"/>
      <c r="N42" s="33"/>
      <c r="O42" s="591"/>
    </row>
    <row r="43" spans="1:16">
      <c r="A43" s="599" t="s">
        <v>2048</v>
      </c>
      <c r="C43" s="219">
        <f>B$38-(B$38-B$45)*5/7</f>
        <v>218336801.57142857</v>
      </c>
      <c r="D43" s="572"/>
      <c r="E43" s="572"/>
      <c r="F43" s="572"/>
      <c r="G43" s="572"/>
      <c r="H43" s="601"/>
      <c r="I43" s="589"/>
      <c r="J43" s="33"/>
      <c r="K43" s="591"/>
      <c r="L43" s="589"/>
      <c r="M43" s="33"/>
      <c r="N43" s="33"/>
      <c r="O43" s="591"/>
    </row>
    <row r="44" spans="1:16">
      <c r="A44" s="599" t="s">
        <v>2049</v>
      </c>
      <c r="C44" s="219">
        <f>B$38-(B$38-B$45)*6/7</f>
        <v>215609787.2857143</v>
      </c>
      <c r="D44" s="572"/>
      <c r="E44" s="572"/>
      <c r="F44" s="572"/>
      <c r="G44" s="572"/>
      <c r="H44" s="601"/>
      <c r="I44" s="589"/>
      <c r="J44" s="33"/>
      <c r="K44" s="591"/>
      <c r="L44" s="589"/>
      <c r="M44" s="33"/>
      <c r="N44" s="33"/>
      <c r="O44" s="591"/>
    </row>
    <row r="45" spans="1:16">
      <c r="A45" s="608" t="s">
        <v>2050</v>
      </c>
      <c r="B45" s="600">
        <v>212882773</v>
      </c>
      <c r="C45" s="572"/>
      <c r="D45" s="572">
        <v>64796135</v>
      </c>
      <c r="E45" s="572">
        <v>10905895</v>
      </c>
      <c r="F45" s="572">
        <f>SUM(B45:E45)</f>
        <v>288584803</v>
      </c>
      <c r="G45" s="572">
        <v>446537000</v>
      </c>
      <c r="H45" s="601">
        <f t="shared" ref="H45:H56" si="11">G45-F45</f>
        <v>157952197</v>
      </c>
      <c r="I45" s="602">
        <f t="shared" ref="I45:I56" si="12">B45/F45</f>
        <v>0.7376783905006945</v>
      </c>
      <c r="J45" s="603">
        <f t="shared" ref="J45:J56" si="13">D45/F45</f>
        <v>0.22453065555222601</v>
      </c>
      <c r="K45" s="604">
        <f t="shared" ref="K45:K56" si="14">E45/F45</f>
        <v>3.7790953947079466E-2</v>
      </c>
      <c r="L45" s="602">
        <f t="shared" ref="L45:L56" si="15">B45/G45</f>
        <v>0.47674162051520924</v>
      </c>
      <c r="M45" s="603">
        <f t="shared" ref="M45:M56" si="16">D45/G45</f>
        <v>0.14510809854502538</v>
      </c>
      <c r="N45" s="603">
        <f t="shared" ref="N45:N56" si="17">E45/G45</f>
        <v>2.4423272875484004E-2</v>
      </c>
      <c r="O45" s="604">
        <f t="shared" ref="O45:O56" si="18">H45/G45</f>
        <v>0.35372700806428137</v>
      </c>
      <c r="P45">
        <f t="shared" si="10"/>
        <v>329400695.45900863</v>
      </c>
    </row>
    <row r="46" spans="1:16">
      <c r="A46" s="608" t="s">
        <v>2051</v>
      </c>
      <c r="B46" s="600">
        <v>211589649</v>
      </c>
      <c r="C46" s="572"/>
      <c r="D46" s="572">
        <v>54794752</v>
      </c>
      <c r="E46" s="572">
        <v>9702594</v>
      </c>
      <c r="F46" s="572">
        <f>SUM(B46:E46)</f>
        <v>276086995</v>
      </c>
      <c r="G46" s="572">
        <v>429357000</v>
      </c>
      <c r="H46" s="601">
        <f t="shared" si="11"/>
        <v>153270005</v>
      </c>
      <c r="I46" s="602">
        <f t="shared" si="12"/>
        <v>0.76638759822787017</v>
      </c>
      <c r="J46" s="603">
        <f t="shared" si="13"/>
        <v>0.19846915281177949</v>
      </c>
      <c r="K46" s="604">
        <f t="shared" si="14"/>
        <v>3.5143248960350343E-2</v>
      </c>
      <c r="L46" s="602">
        <f t="shared" si="15"/>
        <v>0.49280586784424152</v>
      </c>
      <c r="M46" s="603">
        <f t="shared" si="16"/>
        <v>0.12762049296971983</v>
      </c>
      <c r="N46" s="603">
        <f t="shared" si="17"/>
        <v>2.2597963932112438E-2</v>
      </c>
      <c r="O46" s="604">
        <f t="shared" si="18"/>
        <v>0.35697567525392621</v>
      </c>
      <c r="P46">
        <f>I46*G46</f>
        <v>329053880.01232368</v>
      </c>
    </row>
    <row r="47" spans="1:16" ht="15.75" thickBot="1">
      <c r="A47" s="608" t="s">
        <v>2052</v>
      </c>
      <c r="B47" s="600">
        <v>217316173</v>
      </c>
      <c r="C47" s="572"/>
      <c r="D47" s="572">
        <v>69029291</v>
      </c>
      <c r="E47" s="572">
        <v>8668686</v>
      </c>
      <c r="F47" s="572">
        <f>SUM(B47:E47)</f>
        <v>295014150</v>
      </c>
      <c r="G47" s="572">
        <v>443466000</v>
      </c>
      <c r="H47" s="601">
        <f t="shared" si="11"/>
        <v>148451850</v>
      </c>
      <c r="I47" s="602">
        <f t="shared" si="12"/>
        <v>0.73662965996715746</v>
      </c>
      <c r="J47" s="603">
        <f t="shared" si="13"/>
        <v>0.23398637319599755</v>
      </c>
      <c r="K47" s="604">
        <f t="shared" si="14"/>
        <v>2.9383966836844945E-2</v>
      </c>
      <c r="L47" s="602">
        <f t="shared" si="15"/>
        <v>0.49004021277843174</v>
      </c>
      <c r="M47" s="603">
        <f t="shared" si="16"/>
        <v>0.15565858712956573</v>
      </c>
      <c r="N47" s="603">
        <f t="shared" si="17"/>
        <v>1.9547577491848305E-2</v>
      </c>
      <c r="O47" s="604">
        <f t="shared" si="18"/>
        <v>0.33475362260015423</v>
      </c>
      <c r="P47">
        <f t="shared" si="10"/>
        <v>326670208.78699547</v>
      </c>
    </row>
    <row r="48" spans="1:16" ht="16.5" thickTop="1" thickBot="1">
      <c r="A48" s="608" t="s">
        <v>2053</v>
      </c>
      <c r="B48" s="600">
        <v>213587974</v>
      </c>
      <c r="C48" s="572"/>
      <c r="D48" s="572">
        <v>47571687</v>
      </c>
      <c r="E48" s="572">
        <v>8680186</v>
      </c>
      <c r="F48" s="572">
        <f>SUM(B48:E48)</f>
        <v>269839847</v>
      </c>
      <c r="G48" s="609">
        <v>473746000</v>
      </c>
      <c r="H48" s="572">
        <f t="shared" si="11"/>
        <v>203906153</v>
      </c>
      <c r="I48" s="610">
        <f t="shared" si="12"/>
        <v>0.7915360773236727</v>
      </c>
      <c r="J48" s="603">
        <f t="shared" si="13"/>
        <v>0.17629600494103453</v>
      </c>
      <c r="K48" s="604">
        <f t="shared" si="14"/>
        <v>3.2167917735292817E-2</v>
      </c>
      <c r="L48" s="602">
        <f t="shared" si="15"/>
        <v>0.45084913434625307</v>
      </c>
      <c r="M48" s="603">
        <f t="shared" si="16"/>
        <v>0.10041601828828106</v>
      </c>
      <c r="N48" s="603">
        <f t="shared" si="17"/>
        <v>1.8322447049684852E-2</v>
      </c>
      <c r="O48" s="604">
        <f t="shared" si="18"/>
        <v>0.43041240031578104</v>
      </c>
      <c r="P48">
        <f t="shared" si="10"/>
        <v>374987050.48778063</v>
      </c>
    </row>
    <row r="49" spans="1:16" ht="16.5" thickTop="1" thickBot="1">
      <c r="A49" s="608" t="s">
        <v>2054</v>
      </c>
      <c r="B49" s="600">
        <v>211295992</v>
      </c>
      <c r="C49" s="572"/>
      <c r="D49" s="572">
        <v>57665751</v>
      </c>
      <c r="E49" s="572">
        <v>10960371</v>
      </c>
      <c r="F49" s="572">
        <f>SUM(B49:E49)</f>
        <v>279922114</v>
      </c>
      <c r="G49" s="611">
        <v>503318000</v>
      </c>
      <c r="H49" s="575">
        <f t="shared" si="11"/>
        <v>223395886</v>
      </c>
      <c r="I49" s="612">
        <f t="shared" si="12"/>
        <v>0.75483851197265539</v>
      </c>
      <c r="J49" s="603">
        <f t="shared" si="13"/>
        <v>0.20600641434138356</v>
      </c>
      <c r="K49" s="604">
        <f t="shared" si="14"/>
        <v>3.9155073685961085E-2</v>
      </c>
      <c r="L49" s="602">
        <f t="shared" si="15"/>
        <v>0.41980615038603825</v>
      </c>
      <c r="M49" s="603">
        <f t="shared" si="16"/>
        <v>0.11457120746724735</v>
      </c>
      <c r="N49" s="603">
        <f t="shared" si="17"/>
        <v>2.1776234905169296E-2</v>
      </c>
      <c r="O49" s="604">
        <f t="shared" si="18"/>
        <v>0.44384640724154512</v>
      </c>
      <c r="P49">
        <f t="shared" si="10"/>
        <v>379923810.16905296</v>
      </c>
    </row>
    <row r="50" spans="1:16" ht="16.5" thickTop="1" thickBot="1">
      <c r="A50" s="599" t="s">
        <v>2055</v>
      </c>
      <c r="B50" s="600">
        <v>248941000</v>
      </c>
      <c r="C50" s="572"/>
      <c r="D50" s="572">
        <v>78879000</v>
      </c>
      <c r="E50" s="572">
        <v>7934877</v>
      </c>
      <c r="F50" s="572">
        <f>E50+D50+B50</f>
        <v>335754877</v>
      </c>
      <c r="G50" s="572">
        <v>382471000</v>
      </c>
      <c r="H50" s="601">
        <f t="shared" si="11"/>
        <v>46716123</v>
      </c>
      <c r="I50" s="602">
        <f t="shared" si="12"/>
        <v>0.74143673570525681</v>
      </c>
      <c r="J50" s="603">
        <f t="shared" si="13"/>
        <v>0.23493031792952929</v>
      </c>
      <c r="K50" s="604">
        <f t="shared" si="14"/>
        <v>2.363294636521393E-2</v>
      </c>
      <c r="L50" s="602">
        <f t="shared" si="15"/>
        <v>0.65087549121371291</v>
      </c>
      <c r="M50" s="603">
        <f t="shared" si="16"/>
        <v>0.20623524397928208</v>
      </c>
      <c r="N50" s="603">
        <f t="shared" si="17"/>
        <v>2.0746349396424828E-2</v>
      </c>
      <c r="O50" s="604">
        <f t="shared" si="18"/>
        <v>0.12214291541058014</v>
      </c>
      <c r="P50">
        <f t="shared" si="10"/>
        <v>283578049.7419253</v>
      </c>
    </row>
    <row r="51" spans="1:16" ht="16.5" thickTop="1" thickBot="1">
      <c r="A51" s="599" t="s">
        <v>2056</v>
      </c>
      <c r="B51" s="600">
        <v>297911000</v>
      </c>
      <c r="C51" s="572"/>
      <c r="D51" s="572">
        <v>97299000</v>
      </c>
      <c r="E51" s="572">
        <v>8700469</v>
      </c>
      <c r="F51" s="613">
        <f>E51+D51+B51</f>
        <v>403910469</v>
      </c>
      <c r="G51" s="614">
        <v>468722000</v>
      </c>
      <c r="H51" s="615">
        <f t="shared" si="11"/>
        <v>64811531</v>
      </c>
      <c r="I51" s="612">
        <f t="shared" si="12"/>
        <v>0.7375669185737298</v>
      </c>
      <c r="J51" s="616">
        <f t="shared" si="13"/>
        <v>0.24089249343027055</v>
      </c>
      <c r="K51" s="604">
        <f t="shared" si="14"/>
        <v>2.1540587995999678E-2</v>
      </c>
      <c r="L51" s="602">
        <f t="shared" si="15"/>
        <v>0.63558143206420858</v>
      </c>
      <c r="M51" s="603">
        <f t="shared" si="16"/>
        <v>0.20758359966035306</v>
      </c>
      <c r="N51" s="603">
        <f t="shared" si="17"/>
        <v>1.8562109309996116E-2</v>
      </c>
      <c r="O51" s="604">
        <f t="shared" si="18"/>
        <v>0.1382728589654422</v>
      </c>
      <c r="P51">
        <f t="shared" si="10"/>
        <v>345713841.20771581</v>
      </c>
    </row>
    <row r="52" spans="1:16" ht="16.5" thickTop="1" thickBot="1">
      <c r="A52" s="599" t="s">
        <v>2057</v>
      </c>
      <c r="B52" s="600">
        <v>321813000</v>
      </c>
      <c r="C52" s="572"/>
      <c r="D52" s="572">
        <v>118847000</v>
      </c>
      <c r="E52" s="572">
        <v>9822379</v>
      </c>
      <c r="F52" s="572">
        <v>450482379</v>
      </c>
      <c r="G52" s="617">
        <v>513436000</v>
      </c>
      <c r="H52" s="615">
        <f t="shared" si="11"/>
        <v>62953621</v>
      </c>
      <c r="I52" s="612">
        <f t="shared" si="12"/>
        <v>0.71437422416915441</v>
      </c>
      <c r="J52" s="603">
        <f t="shared" si="13"/>
        <v>0.26382163995808589</v>
      </c>
      <c r="K52" s="604">
        <f t="shared" si="14"/>
        <v>2.1804135872759631E-2</v>
      </c>
      <c r="L52" s="602">
        <f t="shared" si="15"/>
        <v>0.62678308494145329</v>
      </c>
      <c r="M52" s="603">
        <f t="shared" si="16"/>
        <v>0.23147383510310926</v>
      </c>
      <c r="N52" s="603">
        <f t="shared" si="17"/>
        <v>1.9130678409772593E-2</v>
      </c>
      <c r="O52" s="604">
        <f t="shared" si="18"/>
        <v>0.1226124015456649</v>
      </c>
      <c r="P52">
        <f t="shared" si="10"/>
        <v>366785444.16051394</v>
      </c>
    </row>
    <row r="53" spans="1:16" ht="16.5" thickTop="1" thickBot="1">
      <c r="A53" s="599" t="s">
        <v>2058</v>
      </c>
      <c r="B53" s="600">
        <v>288506900</v>
      </c>
      <c r="C53" s="572"/>
      <c r="D53" s="572">
        <v>97683150</v>
      </c>
      <c r="E53" s="572">
        <v>9572597</v>
      </c>
      <c r="F53" s="572">
        <v>395762647</v>
      </c>
      <c r="G53" s="618">
        <v>458926000</v>
      </c>
      <c r="H53" s="615">
        <f t="shared" si="11"/>
        <v>63163353</v>
      </c>
      <c r="I53" s="619">
        <f t="shared" si="12"/>
        <v>0.7289897169097922</v>
      </c>
      <c r="J53" s="603">
        <f t="shared" si="13"/>
        <v>0.24682256079614304</v>
      </c>
      <c r="K53" s="604">
        <f t="shared" si="14"/>
        <v>2.4187722294064806E-2</v>
      </c>
      <c r="L53" s="602">
        <f t="shared" si="15"/>
        <v>0.62865668974954569</v>
      </c>
      <c r="M53" s="603">
        <f t="shared" si="16"/>
        <v>0.21285163621150252</v>
      </c>
      <c r="N53" s="603">
        <f t="shared" si="17"/>
        <v>2.0858693994238724E-2</v>
      </c>
      <c r="O53" s="604">
        <f t="shared" si="18"/>
        <v>0.13763298004471308</v>
      </c>
      <c r="P53">
        <f t="shared" si="10"/>
        <v>334552334.82254332</v>
      </c>
    </row>
    <row r="54" spans="1:16" ht="16.5" thickTop="1" thickBot="1">
      <c r="A54" s="599" t="s">
        <v>2009</v>
      </c>
      <c r="B54" s="600">
        <v>260549000</v>
      </c>
      <c r="C54" s="572"/>
      <c r="D54" s="572">
        <v>87111000</v>
      </c>
      <c r="E54" s="572">
        <v>8625088</v>
      </c>
      <c r="F54" s="613">
        <f>SUM(B54:E54)</f>
        <v>356285088</v>
      </c>
      <c r="G54" s="620">
        <v>426006000</v>
      </c>
      <c r="H54" s="615">
        <f t="shared" si="11"/>
        <v>69720912</v>
      </c>
      <c r="I54" s="612">
        <f t="shared" si="12"/>
        <v>0.73129358700524671</v>
      </c>
      <c r="J54" s="603">
        <f t="shared" si="13"/>
        <v>0.24449802400935736</v>
      </c>
      <c r="K54" s="604">
        <f t="shared" si="14"/>
        <v>2.4208388985395873E-2</v>
      </c>
      <c r="L54" s="602">
        <f t="shared" si="15"/>
        <v>0.61160875668417813</v>
      </c>
      <c r="M54" s="603">
        <f t="shared" si="16"/>
        <v>0.20448303545020494</v>
      </c>
      <c r="N54" s="603">
        <f t="shared" si="17"/>
        <v>2.0246400285441991E-2</v>
      </c>
      <c r="O54" s="604">
        <f t="shared" si="18"/>
        <v>0.16366180758017493</v>
      </c>
      <c r="P54">
        <f t="shared" si="10"/>
        <v>311535455.82575715</v>
      </c>
    </row>
    <row r="55" spans="1:16" ht="16.5" thickTop="1" thickBot="1">
      <c r="A55" s="599" t="s">
        <v>2010</v>
      </c>
      <c r="B55" s="600">
        <v>259330000</v>
      </c>
      <c r="C55" s="572"/>
      <c r="D55" s="572">
        <v>85730000</v>
      </c>
      <c r="E55" s="572">
        <v>7966196</v>
      </c>
      <c r="F55" s="613">
        <f>SUM(B55:E55)</f>
        <v>353026196</v>
      </c>
      <c r="G55" s="620">
        <v>422157000</v>
      </c>
      <c r="H55" s="615">
        <f t="shared" si="11"/>
        <v>69130804</v>
      </c>
      <c r="I55" s="612">
        <f t="shared" si="12"/>
        <v>0.73459137859559864</v>
      </c>
      <c r="J55" s="603">
        <f t="shared" si="13"/>
        <v>0.24284316849959769</v>
      </c>
      <c r="K55" s="604">
        <f t="shared" si="14"/>
        <v>2.25654529048037E-2</v>
      </c>
      <c r="L55" s="602">
        <f t="shared" si="15"/>
        <v>0.61429752438073981</v>
      </c>
      <c r="M55" s="603">
        <f t="shared" si="16"/>
        <v>0.20307610675649107</v>
      </c>
      <c r="N55" s="603">
        <f t="shared" si="17"/>
        <v>1.887022126839067E-2</v>
      </c>
      <c r="O55" s="604">
        <f t="shared" si="18"/>
        <v>0.1637561475943784</v>
      </c>
      <c r="P55">
        <f t="shared" si="10"/>
        <v>310112892.61378211</v>
      </c>
    </row>
    <row r="56" spans="1:16" ht="16.5" thickTop="1" thickBot="1">
      <c r="A56" s="599" t="s">
        <v>2059</v>
      </c>
      <c r="B56" s="600">
        <v>305300000</v>
      </c>
      <c r="C56" s="572"/>
      <c r="D56" s="572">
        <v>100260000</v>
      </c>
      <c r="E56" s="572">
        <v>10440107</v>
      </c>
      <c r="F56" s="613">
        <f>SUM(B56:E56)</f>
        <v>416000107</v>
      </c>
      <c r="G56" s="618">
        <v>550688000</v>
      </c>
      <c r="H56" s="615">
        <f t="shared" si="11"/>
        <v>134687893</v>
      </c>
      <c r="I56" s="612">
        <f t="shared" si="12"/>
        <v>0.73389404200321517</v>
      </c>
      <c r="J56" s="603">
        <f t="shared" si="13"/>
        <v>0.24100955339417737</v>
      </c>
      <c r="K56" s="604">
        <f t="shared" si="14"/>
        <v>2.509640460260747E-2</v>
      </c>
      <c r="L56" s="602">
        <f t="shared" si="15"/>
        <v>0.55439740833284912</v>
      </c>
      <c r="M56" s="603">
        <f t="shared" si="16"/>
        <v>0.1820631646231623</v>
      </c>
      <c r="N56" s="603">
        <f t="shared" si="17"/>
        <v>1.8958297620431171E-2</v>
      </c>
      <c r="O56" s="604">
        <f t="shared" si="18"/>
        <v>0.24458112942355745</v>
      </c>
      <c r="P56">
        <f t="shared" si="10"/>
        <v>404146642.20266658</v>
      </c>
    </row>
    <row r="57" spans="1:16" ht="16.5" thickTop="1" thickBot="1">
      <c r="A57" s="599"/>
      <c r="B57" s="600"/>
      <c r="C57" s="572"/>
      <c r="D57" s="572"/>
      <c r="E57" s="572"/>
      <c r="F57" s="572"/>
      <c r="G57" s="614"/>
      <c r="H57" s="572"/>
      <c r="I57" s="621"/>
      <c r="J57" s="603"/>
      <c r="K57" s="604"/>
      <c r="L57" s="602"/>
      <c r="M57" s="603"/>
      <c r="N57" s="603"/>
      <c r="O57" s="604"/>
    </row>
    <row r="58" spans="1:16" ht="16.5" thickTop="1" thickBot="1">
      <c r="A58" s="599"/>
      <c r="B58" s="600"/>
      <c r="C58" s="572"/>
      <c r="D58" s="572"/>
      <c r="E58" s="572"/>
      <c r="F58" s="572"/>
      <c r="G58" s="614"/>
      <c r="H58" s="601"/>
      <c r="I58" s="622"/>
      <c r="J58" s="603"/>
      <c r="K58" s="604"/>
      <c r="L58" s="602"/>
      <c r="M58" s="603"/>
      <c r="N58" s="603"/>
      <c r="O58" s="604"/>
    </row>
    <row r="59" spans="1:16" ht="15.75" thickBot="1">
      <c r="A59" s="592"/>
      <c r="B59" s="623"/>
      <c r="C59" s="575"/>
      <c r="D59" s="575"/>
      <c r="E59" s="575"/>
      <c r="F59" s="575"/>
      <c r="G59" s="575"/>
      <c r="H59" s="624" t="s">
        <v>2060</v>
      </c>
      <c r="I59" s="625">
        <f>AVERAGE(I50:I54)</f>
        <v>0.73073223647263597</v>
      </c>
      <c r="J59" s="625">
        <f>AVERAGE(J50:J54)</f>
        <v>0.24619300722467724</v>
      </c>
      <c r="K59" s="625">
        <f>AVERAGE(K50:K54)</f>
        <v>2.3074756302686787E-2</v>
      </c>
      <c r="L59" s="625">
        <f>AVERAGE(L50:L56)</f>
        <v>0.61745719819524092</v>
      </c>
      <c r="M59" s="625">
        <f>AVERAGE(M50:M56)</f>
        <v>0.20682380311201504</v>
      </c>
      <c r="N59" s="626">
        <f>AVERAGE(N50:N56)</f>
        <v>1.962467861209944E-2</v>
      </c>
      <c r="O59" s="625">
        <f>AVERAGE(O50:O56)</f>
        <v>0.15609432008064442</v>
      </c>
    </row>
  </sheetData>
  <mergeCells count="7">
    <mergeCell ref="I23:K23"/>
    <mergeCell ref="L23:O23"/>
    <mergeCell ref="B24:F24"/>
    <mergeCell ref="C4:F4"/>
    <mergeCell ref="C5:F5"/>
    <mergeCell ref="C19:E19"/>
    <mergeCell ref="B23:H23"/>
  </mergeCells>
  <pageMargins left="0.7" right="0.7" top="0.75" bottom="0.75" header="0.3" footer="0.3"/>
  <pageSetup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dimension ref="A1:S73"/>
  <sheetViews>
    <sheetView workbookViewId="0">
      <selection activeCell="C42" sqref="C42"/>
    </sheetView>
  </sheetViews>
  <sheetFormatPr defaultRowHeight="15"/>
  <cols>
    <col min="1" max="1" width="21.7109375" customWidth="1"/>
    <col min="2" max="2" width="26.140625" bestFit="1" customWidth="1"/>
    <col min="3" max="3" width="18.140625" customWidth="1"/>
    <col min="4" max="4" width="14.7109375" style="150" bestFit="1" customWidth="1"/>
    <col min="5" max="5" width="10.7109375" style="55" customWidth="1"/>
    <col min="6" max="6" width="11.140625" style="698" customWidth="1"/>
    <col min="7" max="7" width="12" bestFit="1" customWidth="1"/>
    <col min="8" max="8" width="18" bestFit="1" customWidth="1"/>
    <col min="9" max="10" width="12.5703125" bestFit="1" customWidth="1"/>
    <col min="11" max="11" width="14.7109375" customWidth="1"/>
    <col min="12" max="12" width="11.85546875" bestFit="1" customWidth="1"/>
    <col min="13" max="13" width="12" customWidth="1"/>
    <col min="14" max="14" width="14.5703125" bestFit="1" customWidth="1"/>
    <col min="15" max="15" width="19.7109375" bestFit="1" customWidth="1"/>
    <col min="16" max="16" width="4.5703125" customWidth="1"/>
    <col min="17" max="17" width="13.85546875" customWidth="1"/>
  </cols>
  <sheetData>
    <row r="1" spans="1:19">
      <c r="A1" s="1" t="s">
        <v>870</v>
      </c>
      <c r="B1" s="1"/>
      <c r="C1" s="150"/>
      <c r="D1" s="55"/>
      <c r="E1"/>
      <c r="F1" s="697"/>
      <c r="S1" t="s">
        <v>2</v>
      </c>
    </row>
    <row r="2" spans="1:19">
      <c r="C2" s="150"/>
      <c r="D2" s="55"/>
      <c r="E2"/>
      <c r="F2" s="697"/>
      <c r="S2" t="s">
        <v>866</v>
      </c>
    </row>
    <row r="3" spans="1:19">
      <c r="A3" s="2" t="s">
        <v>693</v>
      </c>
      <c r="B3" s="2"/>
      <c r="C3" s="150"/>
      <c r="D3" s="55"/>
      <c r="E3"/>
      <c r="F3" s="697"/>
      <c r="S3" t="s">
        <v>588</v>
      </c>
    </row>
    <row r="4" spans="1:19" ht="17.25" customHeight="1">
      <c r="B4" s="2"/>
      <c r="C4" s="2"/>
      <c r="G4" s="1035" t="s">
        <v>774</v>
      </c>
      <c r="H4" s="1037"/>
      <c r="I4" s="1035" t="s">
        <v>775</v>
      </c>
      <c r="J4" s="1037"/>
      <c r="K4" s="1036"/>
      <c r="L4" s="1035" t="s">
        <v>776</v>
      </c>
      <c r="M4" s="1037"/>
      <c r="N4" s="1036"/>
      <c r="S4" t="s">
        <v>867</v>
      </c>
    </row>
    <row r="5" spans="1:19" s="151" customFormat="1" ht="33" customHeight="1">
      <c r="A5" s="172" t="s">
        <v>58</v>
      </c>
      <c r="B5" s="167" t="s">
        <v>1</v>
      </c>
      <c r="C5" s="168" t="s">
        <v>54</v>
      </c>
      <c r="D5" s="480" t="s">
        <v>695</v>
      </c>
      <c r="E5" s="1054" t="s">
        <v>696</v>
      </c>
      <c r="F5" s="1057"/>
      <c r="G5" s="657" t="s">
        <v>777</v>
      </c>
      <c r="H5" s="656" t="s">
        <v>778</v>
      </c>
      <c r="I5" s="170" t="s">
        <v>777</v>
      </c>
      <c r="J5" s="168" t="s">
        <v>778</v>
      </c>
      <c r="K5" s="174" t="s">
        <v>780</v>
      </c>
      <c r="L5" s="170" t="s">
        <v>777</v>
      </c>
      <c r="M5" s="168" t="s">
        <v>778</v>
      </c>
      <c r="N5" s="174" t="s">
        <v>780</v>
      </c>
      <c r="O5" s="172" t="s">
        <v>779</v>
      </c>
    </row>
    <row r="6" spans="1:19" s="150" customFormat="1" ht="15" customHeight="1">
      <c r="A6" s="165" t="s">
        <v>59</v>
      </c>
      <c r="B6" s="152" t="s">
        <v>773</v>
      </c>
      <c r="C6" s="153" t="s">
        <v>55</v>
      </c>
      <c r="D6" s="495">
        <f>'ATMOS NG Calculations'!G13</f>
        <v>330026.81184735836</v>
      </c>
      <c r="E6" s="1060">
        <f>1.023*D6</f>
        <v>337617.42851984757</v>
      </c>
      <c r="F6" s="1061"/>
      <c r="G6" s="153">
        <v>52.91</v>
      </c>
      <c r="H6" s="155">
        <f>G6*E6</f>
        <v>17863338.142985135</v>
      </c>
      <c r="I6" s="152">
        <v>5.0000000000000001E-3</v>
      </c>
      <c r="J6" s="164">
        <f>I6*$E6</f>
        <v>1688.0871425992379</v>
      </c>
      <c r="K6" s="161">
        <f>J6*24</f>
        <v>40514.091422381709</v>
      </c>
      <c r="L6" s="152">
        <v>1E-4</v>
      </c>
      <c r="M6" s="164">
        <f>L6*$E6</f>
        <v>33.761742851984756</v>
      </c>
      <c r="N6" s="161">
        <f>M6*310</f>
        <v>10466.140284115274</v>
      </c>
      <c r="O6" s="183">
        <f>SUM(H6,K6,N6)</f>
        <v>17914318.374691632</v>
      </c>
    </row>
    <row r="7" spans="1:19" s="150" customFormat="1" ht="15" customHeight="1">
      <c r="A7" s="165" t="s">
        <v>59</v>
      </c>
      <c r="B7" s="152" t="s">
        <v>773</v>
      </c>
      <c r="C7" s="153" t="s">
        <v>56</v>
      </c>
      <c r="D7" s="495">
        <f>'ATMOS NG Calculations'!G14</f>
        <v>213822.32890984009</v>
      </c>
      <c r="E7" s="1062">
        <f>1.023*D7</f>
        <v>218740.24247476639</v>
      </c>
      <c r="F7" s="1063"/>
      <c r="G7" s="153">
        <v>52.91</v>
      </c>
      <c r="H7" s="155">
        <f>G7*E7</f>
        <v>11573546.229339888</v>
      </c>
      <c r="I7" s="152">
        <v>5.0000000000000001E-3</v>
      </c>
      <c r="J7" s="164">
        <f>I7*$E7</f>
        <v>1093.701212373832</v>
      </c>
      <c r="K7" s="161">
        <f t="shared" ref="K7:K9" si="0">J7*24</f>
        <v>26248.829096971967</v>
      </c>
      <c r="L7" s="152">
        <v>1E-4</v>
      </c>
      <c r="M7" s="164">
        <f>L7*$E7</f>
        <v>21.87402424747664</v>
      </c>
      <c r="N7" s="161">
        <f t="shared" ref="N7:N9" si="1">M7*310</f>
        <v>6780.9475167177588</v>
      </c>
      <c r="O7" s="183">
        <f t="shared" ref="O7:O9" si="2">SUM(H7,K7,N7)</f>
        <v>11606576.005953576</v>
      </c>
    </row>
    <row r="8" spans="1:19" s="150" customFormat="1" ht="15" customHeight="1">
      <c r="A8" s="165" t="s">
        <v>59</v>
      </c>
      <c r="B8" s="152" t="s">
        <v>773</v>
      </c>
      <c r="C8" s="153" t="s">
        <v>57</v>
      </c>
      <c r="D8" s="495">
        <f>'ATMOS NG Calculations'!G18</f>
        <v>268586.29345564201</v>
      </c>
      <c r="E8" s="1062">
        <f>1.023*D8</f>
        <v>274763.77820512175</v>
      </c>
      <c r="F8" s="1063"/>
      <c r="G8" s="153">
        <v>52.91</v>
      </c>
      <c r="H8" s="155">
        <f>G8*E8</f>
        <v>14537751.50483299</v>
      </c>
      <c r="I8" s="152">
        <v>1E-4</v>
      </c>
      <c r="J8" s="164">
        <f>I8*$E8</f>
        <v>27.476377820512177</v>
      </c>
      <c r="K8" s="161">
        <f t="shared" si="0"/>
        <v>659.4330676922923</v>
      </c>
      <c r="L8" s="152">
        <v>1E-4</v>
      </c>
      <c r="M8" s="164">
        <f>L8*$E8</f>
        <v>27.476377820512177</v>
      </c>
      <c r="N8" s="161">
        <f t="shared" si="1"/>
        <v>8517.6771243587755</v>
      </c>
      <c r="O8" s="183">
        <f t="shared" si="2"/>
        <v>14546928.615025042</v>
      </c>
    </row>
    <row r="9" spans="1:19" s="150" customFormat="1" ht="15" customHeight="1">
      <c r="A9" s="166" t="s">
        <v>59</v>
      </c>
      <c r="B9" s="157" t="s">
        <v>773</v>
      </c>
      <c r="C9" s="153" t="s">
        <v>2267</v>
      </c>
      <c r="D9" s="496">
        <f>'ATMOS NG Calculations'!G19</f>
        <v>46998.507200000007</v>
      </c>
      <c r="E9" s="1062">
        <f>1.023*D9</f>
        <v>48079.472865600001</v>
      </c>
      <c r="F9" s="1063"/>
      <c r="G9" s="158">
        <v>52.91</v>
      </c>
      <c r="H9" s="159">
        <f>G9*E9</f>
        <v>2543884.909318896</v>
      </c>
      <c r="I9" s="157">
        <v>5.0000000000000001E-3</v>
      </c>
      <c r="J9" s="173">
        <f>I9*$E9</f>
        <v>240.39736432800001</v>
      </c>
      <c r="K9" s="162">
        <f t="shared" si="0"/>
        <v>5769.5367438720004</v>
      </c>
      <c r="L9" s="157">
        <v>1E-4</v>
      </c>
      <c r="M9" s="173">
        <f>L9*$E9</f>
        <v>4.8079472865600001</v>
      </c>
      <c r="N9" s="162">
        <f t="shared" si="1"/>
        <v>1490.4636588336</v>
      </c>
      <c r="O9" s="184">
        <f t="shared" si="2"/>
        <v>2551144.9097216013</v>
      </c>
    </row>
    <row r="10" spans="1:19" s="150" customFormat="1" ht="15" customHeight="1">
      <c r="A10" s="153"/>
      <c r="B10" s="153"/>
      <c r="C10" s="167" t="s">
        <v>863</v>
      </c>
      <c r="D10" s="653">
        <f>SUM(D6:D9)</f>
        <v>859433.94141284039</v>
      </c>
      <c r="E10" s="1058">
        <f>SUM(E6:E9)</f>
        <v>879200.92206533579</v>
      </c>
      <c r="F10" s="1059"/>
      <c r="G10" s="283"/>
      <c r="H10" s="282">
        <f t="shared" ref="H10:O10" si="3">SUM(H6:H9)</f>
        <v>46518520.78647691</v>
      </c>
      <c r="I10" s="482"/>
      <c r="J10" s="281">
        <f t="shared" si="3"/>
        <v>3049.6620971215821</v>
      </c>
      <c r="K10" s="282">
        <f t="shared" si="3"/>
        <v>73191.890330917973</v>
      </c>
      <c r="L10" s="485"/>
      <c r="M10" s="281">
        <f t="shared" si="3"/>
        <v>87.920092206533567</v>
      </c>
      <c r="N10" s="282">
        <f t="shared" si="3"/>
        <v>27255.228584025408</v>
      </c>
      <c r="O10" s="282">
        <f t="shared" si="3"/>
        <v>46618967.90539185</v>
      </c>
    </row>
    <row r="11" spans="1:19" s="153" customFormat="1" ht="15" customHeight="1">
      <c r="D11" s="154"/>
      <c r="E11" s="1064"/>
      <c r="F11" s="1064"/>
      <c r="H11" s="155"/>
    </row>
    <row r="12" spans="1:19" s="150" customFormat="1" ht="18" customHeight="1">
      <c r="E12" s="1064"/>
      <c r="F12" s="1064"/>
      <c r="G12" s="1038" t="s">
        <v>774</v>
      </c>
      <c r="H12" s="1039"/>
      <c r="I12" s="1037" t="s">
        <v>775</v>
      </c>
      <c r="J12" s="1037"/>
      <c r="K12" s="1036"/>
      <c r="L12" s="1035" t="s">
        <v>776</v>
      </c>
      <c r="M12" s="1037"/>
      <c r="N12" s="1036"/>
    </row>
    <row r="13" spans="1:19" s="151" customFormat="1" ht="34.5" customHeight="1">
      <c r="A13" s="172" t="s">
        <v>58</v>
      </c>
      <c r="B13" s="167" t="s">
        <v>1</v>
      </c>
      <c r="C13" s="168" t="s">
        <v>54</v>
      </c>
      <c r="D13" s="655"/>
      <c r="E13" s="1065" t="s">
        <v>696</v>
      </c>
      <c r="F13" s="1066"/>
      <c r="G13" s="169" t="s">
        <v>777</v>
      </c>
      <c r="H13" s="171" t="s">
        <v>778</v>
      </c>
      <c r="I13" s="169" t="s">
        <v>777</v>
      </c>
      <c r="J13" s="168" t="s">
        <v>778</v>
      </c>
      <c r="K13" s="174" t="s">
        <v>780</v>
      </c>
      <c r="L13" s="170" t="s">
        <v>777</v>
      </c>
      <c r="M13" s="168" t="s">
        <v>778</v>
      </c>
      <c r="N13" s="174" t="s">
        <v>780</v>
      </c>
      <c r="O13" s="172" t="s">
        <v>779</v>
      </c>
    </row>
    <row r="14" spans="1:19" s="150" customFormat="1" ht="15" customHeight="1">
      <c r="A14" s="165" t="s">
        <v>60</v>
      </c>
      <c r="B14" s="152" t="s">
        <v>686</v>
      </c>
      <c r="C14" s="153" t="s">
        <v>55</v>
      </c>
      <c r="D14" s="152"/>
      <c r="E14" s="1060">
        <f>'BE.1.2 Calculations'!H11*'BE.1.2 Calculations'!B11</f>
        <v>1675.8000000000002</v>
      </c>
      <c r="F14" s="1061"/>
      <c r="G14" s="180">
        <v>62.98</v>
      </c>
      <c r="H14" s="161">
        <f>G14*E14</f>
        <v>105541.88400000001</v>
      </c>
      <c r="I14" s="181">
        <f>0.001/0.092</f>
        <v>1.0869565217391304E-2</v>
      </c>
      <c r="J14" s="164">
        <f>I14*$E14</f>
        <v>18.21521739130435</v>
      </c>
      <c r="K14" s="161">
        <f>J14*24</f>
        <v>437.1652173913044</v>
      </c>
      <c r="L14" s="181">
        <f>0.0001/0.092</f>
        <v>1.0869565217391304E-3</v>
      </c>
      <c r="M14" s="164">
        <f>L14*$E14</f>
        <v>1.821521739130435</v>
      </c>
      <c r="N14" s="161">
        <f t="shared" ref="N14:N16" si="4">M14*310</f>
        <v>564.67173913043484</v>
      </c>
      <c r="O14" s="183">
        <f>SUM(H14,K14,N14)</f>
        <v>106543.72095652175</v>
      </c>
    </row>
    <row r="15" spans="1:19" s="150" customFormat="1" ht="15" customHeight="1">
      <c r="A15" s="165" t="s">
        <v>60</v>
      </c>
      <c r="B15" s="152" t="s">
        <v>685</v>
      </c>
      <c r="C15" s="153" t="s">
        <v>55</v>
      </c>
      <c r="D15" s="152"/>
      <c r="E15" s="1062">
        <f>'BE.1.2 Calculations'!H12*'BE.1.2 Calculations'!B12</f>
        <v>36994</v>
      </c>
      <c r="F15" s="1063"/>
      <c r="G15" s="180">
        <v>73.959999999999994</v>
      </c>
      <c r="H15" s="161">
        <f>G15*E15</f>
        <v>2736076.2399999998</v>
      </c>
      <c r="I15" s="181">
        <f>0.0015/0.138</f>
        <v>1.0869565217391304E-2</v>
      </c>
      <c r="J15" s="164">
        <f t="shared" ref="J15:J16" si="5">I15*$E15</f>
        <v>402.10869565217388</v>
      </c>
      <c r="K15" s="161">
        <f t="shared" ref="K15:K16" si="6">J15*24</f>
        <v>9650.6086956521722</v>
      </c>
      <c r="L15" s="181">
        <f>0.0001/0.138</f>
        <v>7.246376811594203E-4</v>
      </c>
      <c r="M15" s="164">
        <f t="shared" ref="M15:M16" si="7">L15*$E15</f>
        <v>26.807246376811595</v>
      </c>
      <c r="N15" s="161">
        <f t="shared" si="4"/>
        <v>8310.246376811594</v>
      </c>
      <c r="O15" s="183">
        <f t="shared" ref="O15:O16" si="8">SUM(H15,K15,N15)</f>
        <v>2754037.0950724636</v>
      </c>
    </row>
    <row r="16" spans="1:19" s="150" customFormat="1" ht="15" customHeight="1">
      <c r="A16" s="166" t="s">
        <v>60</v>
      </c>
      <c r="B16" s="157" t="s">
        <v>590</v>
      </c>
      <c r="C16" s="158" t="s">
        <v>55</v>
      </c>
      <c r="D16" s="157"/>
      <c r="E16" s="1067">
        <f>'BE.1.2 Calculations'!H13*'BE.1.2 Calculations'!B13</f>
        <v>1788</v>
      </c>
      <c r="F16" s="1068"/>
      <c r="G16" s="250">
        <v>93.8</v>
      </c>
      <c r="H16" s="162">
        <f>G16*E16</f>
        <v>167714.4</v>
      </c>
      <c r="I16" s="182">
        <v>0.316</v>
      </c>
      <c r="J16" s="173">
        <f t="shared" si="5"/>
        <v>565.00800000000004</v>
      </c>
      <c r="K16" s="162">
        <f t="shared" si="6"/>
        <v>13560.192000000001</v>
      </c>
      <c r="L16" s="182">
        <v>4.1999999999999997E-3</v>
      </c>
      <c r="M16" s="173">
        <f t="shared" si="7"/>
        <v>7.5095999999999998</v>
      </c>
      <c r="N16" s="162">
        <f t="shared" si="4"/>
        <v>2327.9760000000001</v>
      </c>
      <c r="O16" s="184">
        <f t="shared" si="8"/>
        <v>183602.568</v>
      </c>
    </row>
    <row r="17" spans="1:15" s="150" customFormat="1" ht="15" customHeight="1">
      <c r="B17" s="153"/>
      <c r="C17" s="167" t="s">
        <v>863</v>
      </c>
      <c r="D17" s="653"/>
      <c r="E17" s="1067">
        <f>SUM(E14:E16)</f>
        <v>40457.800000000003</v>
      </c>
      <c r="F17" s="1068"/>
      <c r="G17" s="281"/>
      <c r="H17" s="282">
        <f t="shared" ref="H17:O17" si="9">SUM(H14:H16)</f>
        <v>3009332.5239999997</v>
      </c>
      <c r="I17" s="281"/>
      <c r="J17" s="281">
        <f t="shared" si="9"/>
        <v>985.33191304347827</v>
      </c>
      <c r="K17" s="281">
        <f t="shared" si="9"/>
        <v>23647.965913043477</v>
      </c>
      <c r="L17" s="485"/>
      <c r="M17" s="281">
        <f t="shared" si="9"/>
        <v>36.138368115942029</v>
      </c>
      <c r="N17" s="282">
        <f t="shared" si="9"/>
        <v>11202.89411594203</v>
      </c>
      <c r="O17" s="282">
        <f t="shared" si="9"/>
        <v>3044183.3840289852</v>
      </c>
    </row>
    <row r="18" spans="1:15" ht="15" customHeight="1">
      <c r="A18" s="2" t="s">
        <v>694</v>
      </c>
      <c r="C18" s="150"/>
      <c r="D18" s="55"/>
      <c r="E18" s="1064"/>
      <c r="F18" s="1064"/>
    </row>
    <row r="19" spans="1:15" ht="18" customHeight="1">
      <c r="B19" s="2"/>
      <c r="E19" s="1064"/>
      <c r="F19" s="1064"/>
      <c r="G19" s="1038" t="s">
        <v>774</v>
      </c>
      <c r="H19" s="1039"/>
      <c r="I19" s="1037" t="s">
        <v>775</v>
      </c>
      <c r="J19" s="1037"/>
      <c r="K19" s="1036"/>
      <c r="L19" s="1035" t="s">
        <v>776</v>
      </c>
      <c r="M19" s="1037"/>
      <c r="N19" s="1036"/>
    </row>
    <row r="20" spans="1:15" s="150" customFormat="1" ht="30">
      <c r="A20" s="172" t="s">
        <v>58</v>
      </c>
      <c r="B20" s="796" t="s">
        <v>697</v>
      </c>
      <c r="C20" s="797" t="s">
        <v>54</v>
      </c>
      <c r="D20" s="169" t="s">
        <v>700</v>
      </c>
      <c r="E20" s="1060" t="s">
        <v>696</v>
      </c>
      <c r="F20" s="1061"/>
      <c r="G20" s="169" t="s">
        <v>777</v>
      </c>
      <c r="H20" s="171" t="s">
        <v>778</v>
      </c>
      <c r="I20" s="169" t="s">
        <v>777</v>
      </c>
      <c r="J20" s="168" t="s">
        <v>778</v>
      </c>
      <c r="K20" s="174" t="s">
        <v>780</v>
      </c>
      <c r="L20" s="170" t="s">
        <v>777</v>
      </c>
      <c r="M20" s="168" t="s">
        <v>778</v>
      </c>
      <c r="N20" s="174" t="s">
        <v>780</v>
      </c>
      <c r="O20" s="172" t="s">
        <v>779</v>
      </c>
    </row>
    <row r="21" spans="1:15" s="150" customFormat="1" ht="15" customHeight="1">
      <c r="A21" s="152" t="s">
        <v>699</v>
      </c>
      <c r="B21" s="631" t="s">
        <v>698</v>
      </c>
      <c r="C21" s="632" t="s">
        <v>55</v>
      </c>
      <c r="D21" s="175">
        <f>'2010 - 2012 APCO Billed kWh''s'!N29</f>
        <v>112572709</v>
      </c>
      <c r="E21" s="1060">
        <f>D21*3412.12/1000000</f>
        <v>384111.59183307999</v>
      </c>
      <c r="F21" s="1061"/>
      <c r="G21" s="249">
        <f>'APCO Emission Factors'!G$4*0.454/3412.12*1000</f>
        <v>224.59702472363222</v>
      </c>
      <c r="H21" s="178">
        <f t="shared" ref="H21:H28" si="10">G21*E21</f>
        <v>86270320.687567994</v>
      </c>
      <c r="I21" s="176">
        <f>18.12*0.454/3412.12</f>
        <v>2.4109585829337776E-3</v>
      </c>
      <c r="J21" s="155">
        <f t="shared" ref="J21:J28" si="11">I21*E21</f>
        <v>926.07713913432008</v>
      </c>
      <c r="K21" s="161">
        <f>J21*24</f>
        <v>22225.851339223682</v>
      </c>
      <c r="L21" s="176">
        <f>25.13*0.454/3412.12</f>
        <v>3.3436749000621316E-3</v>
      </c>
      <c r="M21" s="155">
        <f t="shared" ref="M21:M28" si="12">L21*E21</f>
        <v>1284.34428843518</v>
      </c>
      <c r="N21" s="161">
        <f t="shared" ref="N21:N28" si="13">M21*310</f>
        <v>398146.72941490583</v>
      </c>
      <c r="O21" s="183">
        <f>SUM(H21,K21,N21)</f>
        <v>86690693.268322125</v>
      </c>
    </row>
    <row r="22" spans="1:15" s="150" customFormat="1" ht="15" customHeight="1">
      <c r="A22" s="152" t="s">
        <v>699</v>
      </c>
      <c r="B22" s="152" t="s">
        <v>698</v>
      </c>
      <c r="C22" s="156" t="s">
        <v>56</v>
      </c>
      <c r="D22" s="175">
        <f>SUM('2010 - 2012 APCO Billed kWh''s'!N30:N31)</f>
        <v>54598127</v>
      </c>
      <c r="E22" s="1062">
        <f>D22*3412.12/1000000</f>
        <v>186295.36109923999</v>
      </c>
      <c r="F22" s="1063"/>
      <c r="G22" s="249">
        <f>'APCO Emission Factors'!G$4*0.454/3412.12*1000</f>
        <v>224.59702472363222</v>
      </c>
      <c r="H22" s="178">
        <f t="shared" si="10"/>
        <v>41841383.822703995</v>
      </c>
      <c r="I22" s="176">
        <f t="shared" ref="I22:I28" si="14">18.12*0.454/3412.12</f>
        <v>2.4109585829337776E-3</v>
      </c>
      <c r="J22" s="155">
        <f t="shared" si="11"/>
        <v>449.15039980296007</v>
      </c>
      <c r="K22" s="161">
        <f t="shared" ref="K22:K28" si="15">J22*24</f>
        <v>10779.609595271042</v>
      </c>
      <c r="L22" s="176">
        <f t="shared" ref="L22:L28" si="16">25.13*0.454/3412.12</f>
        <v>3.3436749000621316E-3</v>
      </c>
      <c r="M22" s="155">
        <f t="shared" si="12"/>
        <v>622.91112290553997</v>
      </c>
      <c r="N22" s="161">
        <f t="shared" si="13"/>
        <v>193102.44810071739</v>
      </c>
      <c r="O22" s="183">
        <f t="shared" ref="O22:O28" si="17">SUM(H22,K22,N22)</f>
        <v>42045265.88039998</v>
      </c>
    </row>
    <row r="23" spans="1:15" s="150" customFormat="1" ht="15" customHeight="1">
      <c r="A23" s="152" t="s">
        <v>699</v>
      </c>
      <c r="B23" s="152" t="s">
        <v>698</v>
      </c>
      <c r="C23" s="156" t="s">
        <v>57</v>
      </c>
      <c r="D23" s="175">
        <f>'2010 - 2012 APCO Billed kWh''s'!N32</f>
        <v>49554547</v>
      </c>
      <c r="E23" s="1062">
        <f>D23*3412.12/1000000</f>
        <v>169086.06090963999</v>
      </c>
      <c r="F23" s="1063"/>
      <c r="G23" s="249">
        <f>'APCO Emission Factors'!G$4*0.454/3412.12*1000</f>
        <v>224.59702472363222</v>
      </c>
      <c r="H23" s="178">
        <f t="shared" si="10"/>
        <v>37976226.202543996</v>
      </c>
      <c r="I23" s="176">
        <f t="shared" si="14"/>
        <v>2.4109585829337776E-3</v>
      </c>
      <c r="J23" s="155">
        <f t="shared" si="11"/>
        <v>407.65948980456</v>
      </c>
      <c r="K23" s="161">
        <f t="shared" si="15"/>
        <v>9783.8277553094395</v>
      </c>
      <c r="L23" s="176">
        <f t="shared" si="16"/>
        <v>3.3436749000621316E-3</v>
      </c>
      <c r="M23" s="155">
        <f t="shared" si="12"/>
        <v>565.36881781393993</v>
      </c>
      <c r="N23" s="161">
        <f t="shared" si="13"/>
        <v>175264.33352232137</v>
      </c>
      <c r="O23" s="183">
        <f t="shared" si="17"/>
        <v>38161274.363821626</v>
      </c>
    </row>
    <row r="24" spans="1:15" s="150" customFormat="1" ht="15" customHeight="1">
      <c r="A24" s="152" t="s">
        <v>699</v>
      </c>
      <c r="B24" s="152" t="s">
        <v>698</v>
      </c>
      <c r="C24" s="156" t="s">
        <v>2267</v>
      </c>
      <c r="D24" s="175">
        <f>SUM('2010 - 2012 APCO Billed kWh''s'!N33:N35)</f>
        <v>10837737</v>
      </c>
      <c r="E24" s="1062">
        <f t="shared" ref="E24:E28" si="18">D24*3412.12/1000000</f>
        <v>36979.659172440006</v>
      </c>
      <c r="F24" s="1063"/>
      <c r="G24" s="249">
        <f>'APCO Emission Factors'!G$4*0.454/3412.12*1000</f>
        <v>224.59702472363222</v>
      </c>
      <c r="H24" s="178">
        <f t="shared" si="10"/>
        <v>8305521.4254240012</v>
      </c>
      <c r="I24" s="176">
        <f t="shared" si="14"/>
        <v>2.4109585829337776E-3</v>
      </c>
      <c r="J24" s="155">
        <f t="shared" si="11"/>
        <v>89.156426675760031</v>
      </c>
      <c r="K24" s="161">
        <f t="shared" si="15"/>
        <v>2139.7542402182407</v>
      </c>
      <c r="L24" s="176">
        <f t="shared" si="16"/>
        <v>3.3436749000621316E-3</v>
      </c>
      <c r="M24" s="155">
        <f t="shared" si="12"/>
        <v>123.64795818774003</v>
      </c>
      <c r="N24" s="161">
        <f t="shared" si="13"/>
        <v>38330.867038199409</v>
      </c>
      <c r="O24" s="183">
        <f t="shared" si="17"/>
        <v>8345992.0467024194</v>
      </c>
    </row>
    <row r="25" spans="1:15" s="150" customFormat="1" ht="15" customHeight="1">
      <c r="A25" s="152" t="s">
        <v>699</v>
      </c>
      <c r="B25" s="152" t="s">
        <v>717</v>
      </c>
      <c r="C25" s="156" t="s">
        <v>55</v>
      </c>
      <c r="D25" s="175">
        <f>'2010 VTES Billed kWh''s'!C46</f>
        <v>57174649</v>
      </c>
      <c r="E25" s="1062">
        <f t="shared" si="18"/>
        <v>195086.76334588</v>
      </c>
      <c r="F25" s="1063"/>
      <c r="G25" s="249">
        <f>'APCO Emission Factors'!G$4*0.454/3412.12*1000</f>
        <v>224.59702472363222</v>
      </c>
      <c r="H25" s="178">
        <f t="shared" si="10"/>
        <v>43815906.610447995</v>
      </c>
      <c r="I25" s="176">
        <f t="shared" si="14"/>
        <v>2.4109585829337776E-3</v>
      </c>
      <c r="J25" s="155">
        <f t="shared" si="11"/>
        <v>470.34610650552008</v>
      </c>
      <c r="K25" s="161">
        <f t="shared" si="15"/>
        <v>11288.306556132482</v>
      </c>
      <c r="L25" s="176">
        <f t="shared" si="16"/>
        <v>3.3436749000621316E-3</v>
      </c>
      <c r="M25" s="155">
        <f t="shared" si="12"/>
        <v>652.30671393398006</v>
      </c>
      <c r="N25" s="161">
        <f t="shared" si="13"/>
        <v>202215.08131953381</v>
      </c>
      <c r="O25" s="183">
        <f t="shared" si="17"/>
        <v>44029409.998323664</v>
      </c>
    </row>
    <row r="26" spans="1:15" s="150" customFormat="1" ht="15" customHeight="1">
      <c r="A26" s="152" t="s">
        <v>699</v>
      </c>
      <c r="B26" s="152" t="s">
        <v>717</v>
      </c>
      <c r="C26" s="156" t="s">
        <v>56</v>
      </c>
      <c r="D26" s="175">
        <f>'2010 VTES Billed kWh''s'!C47</f>
        <v>59681228</v>
      </c>
      <c r="E26" s="1062">
        <f t="shared" si="18"/>
        <v>203639.51168335997</v>
      </c>
      <c r="F26" s="1063"/>
      <c r="G26" s="249">
        <f>'APCO Emission Factors'!G$4*0.454/3412.12*1000</f>
        <v>224.59702472363222</v>
      </c>
      <c r="H26" s="178">
        <f t="shared" si="10"/>
        <v>45736828.440255992</v>
      </c>
      <c r="I26" s="176">
        <f t="shared" si="14"/>
        <v>2.4109585829337776E-3</v>
      </c>
      <c r="J26" s="155">
        <f t="shared" si="11"/>
        <v>490.96642851744002</v>
      </c>
      <c r="K26" s="161">
        <f t="shared" si="15"/>
        <v>11783.194284418561</v>
      </c>
      <c r="L26" s="176">
        <f t="shared" si="16"/>
        <v>3.3436749000621316E-3</v>
      </c>
      <c r="M26" s="155">
        <f t="shared" si="12"/>
        <v>680.90432387655994</v>
      </c>
      <c r="N26" s="161">
        <f t="shared" si="13"/>
        <v>211080.34040173359</v>
      </c>
      <c r="O26" s="183">
        <f t="shared" si="17"/>
        <v>45959691.97494214</v>
      </c>
    </row>
    <row r="27" spans="1:15" s="150" customFormat="1" ht="15" customHeight="1">
      <c r="A27" s="152" t="s">
        <v>699</v>
      </c>
      <c r="B27" s="152" t="s">
        <v>717</v>
      </c>
      <c r="C27" s="156" t="s">
        <v>57</v>
      </c>
      <c r="D27" s="175">
        <f>'2010 VTES Billed kWh''s'!C48</f>
        <v>14137060</v>
      </c>
      <c r="E27" s="1062">
        <f t="shared" si="18"/>
        <v>48237.345167199994</v>
      </c>
      <c r="F27" s="1063"/>
      <c r="G27" s="249">
        <f>'APCO Emission Factors'!G$4*0.454/3412.12*1000</f>
        <v>224.59702472363222</v>
      </c>
      <c r="H27" s="178">
        <f t="shared" si="10"/>
        <v>10833964.205119997</v>
      </c>
      <c r="I27" s="176">
        <f t="shared" si="14"/>
        <v>2.4109585829337776E-3</v>
      </c>
      <c r="J27" s="155">
        <f t="shared" si="11"/>
        <v>116.2982413488</v>
      </c>
      <c r="K27" s="161">
        <f t="shared" si="15"/>
        <v>2791.1577923712002</v>
      </c>
      <c r="L27" s="176">
        <f t="shared" si="16"/>
        <v>3.3436749000621316E-3</v>
      </c>
      <c r="M27" s="155">
        <f t="shared" si="12"/>
        <v>161.29000028119998</v>
      </c>
      <c r="N27" s="161">
        <f t="shared" si="13"/>
        <v>49999.900087171991</v>
      </c>
      <c r="O27" s="183">
        <f t="shared" si="17"/>
        <v>10886755.26299954</v>
      </c>
    </row>
    <row r="28" spans="1:15" s="150" customFormat="1" ht="15" customHeight="1">
      <c r="A28" s="157" t="s">
        <v>699</v>
      </c>
      <c r="B28" s="157" t="s">
        <v>717</v>
      </c>
      <c r="C28" s="160" t="s">
        <v>2267</v>
      </c>
      <c r="D28" s="175">
        <f>'2010 VTES Billed kWh''s'!C49</f>
        <v>5913758.0599999987</v>
      </c>
      <c r="E28" s="1067">
        <f t="shared" si="18"/>
        <v>20178.452151687194</v>
      </c>
      <c r="F28" s="1068"/>
      <c r="G28" s="249">
        <f>'APCO Emission Factors'!G$4*0.454/3412.12*1000</f>
        <v>224.59702472363222</v>
      </c>
      <c r="H28" s="179">
        <f t="shared" si="10"/>
        <v>4532020.3167971186</v>
      </c>
      <c r="I28" s="177">
        <f t="shared" si="14"/>
        <v>2.4109585829337776E-3</v>
      </c>
      <c r="J28" s="159">
        <f t="shared" si="11"/>
        <v>48.649412405428791</v>
      </c>
      <c r="K28" s="162">
        <f t="shared" si="15"/>
        <v>1167.585897730291</v>
      </c>
      <c r="L28" s="177">
        <f t="shared" si="16"/>
        <v>3.3436749000621316E-3</v>
      </c>
      <c r="M28" s="159">
        <f t="shared" si="12"/>
        <v>67.470183981701183</v>
      </c>
      <c r="N28" s="162">
        <f t="shared" si="13"/>
        <v>20915.757034327366</v>
      </c>
      <c r="O28" s="184">
        <f t="shared" si="17"/>
        <v>4554103.6597291762</v>
      </c>
    </row>
    <row r="29" spans="1:15" ht="15" customHeight="1">
      <c r="C29" s="629" t="s">
        <v>863</v>
      </c>
      <c r="D29" s="653"/>
      <c r="E29" s="1067">
        <f>SUM(E21:E28)</f>
        <v>1243614.745362527</v>
      </c>
      <c r="F29" s="1068"/>
      <c r="G29" s="281"/>
      <c r="H29" s="282">
        <f t="shared" ref="H29:O29" si="19">SUM(H21:H28)</f>
        <v>279312171.71086115</v>
      </c>
      <c r="I29" s="281"/>
      <c r="J29" s="281">
        <f t="shared" si="19"/>
        <v>2998.3036441947888</v>
      </c>
      <c r="K29" s="281">
        <f t="shared" si="19"/>
        <v>71959.287460674939</v>
      </c>
      <c r="L29" s="485"/>
      <c r="M29" s="281">
        <f t="shared" si="19"/>
        <v>4158.2434094158407</v>
      </c>
      <c r="N29" s="282">
        <f t="shared" si="19"/>
        <v>1289055.4569189106</v>
      </c>
      <c r="O29" s="282">
        <f t="shared" si="19"/>
        <v>280673186.45524067</v>
      </c>
    </row>
    <row r="30" spans="1:15">
      <c r="A30" s="185" t="s">
        <v>784</v>
      </c>
    </row>
    <row r="31" spans="1:15" ht="18">
      <c r="B31" s="2"/>
      <c r="E31" s="150"/>
      <c r="F31" s="55"/>
      <c r="G31" s="1035" t="s">
        <v>774</v>
      </c>
      <c r="H31" s="1036"/>
      <c r="I31" s="1037" t="s">
        <v>775</v>
      </c>
      <c r="J31" s="1037"/>
      <c r="K31" s="1036"/>
      <c r="L31" s="1035" t="s">
        <v>776</v>
      </c>
      <c r="M31" s="1037"/>
      <c r="N31" s="1036"/>
    </row>
    <row r="32" spans="1:15" s="150" customFormat="1" ht="48" customHeight="1">
      <c r="A32" s="172" t="s">
        <v>58</v>
      </c>
      <c r="B32" s="167" t="s">
        <v>783</v>
      </c>
      <c r="C32" s="171" t="s">
        <v>54</v>
      </c>
      <c r="D32" s="169" t="s">
        <v>820</v>
      </c>
      <c r="E32" s="552" t="s">
        <v>696</v>
      </c>
      <c r="F32" s="480" t="s">
        <v>854</v>
      </c>
      <c r="G32" s="170" t="s">
        <v>850</v>
      </c>
      <c r="H32" s="171" t="s">
        <v>778</v>
      </c>
      <c r="I32" s="169" t="s">
        <v>851</v>
      </c>
      <c r="J32" s="168" t="s">
        <v>778</v>
      </c>
      <c r="K32" s="174" t="s">
        <v>780</v>
      </c>
      <c r="L32" s="170" t="s">
        <v>851</v>
      </c>
      <c r="M32" s="168" t="s">
        <v>778</v>
      </c>
      <c r="N32" s="174" t="s">
        <v>780</v>
      </c>
      <c r="O32" s="172" t="s">
        <v>779</v>
      </c>
    </row>
    <row r="33" spans="1:15">
      <c r="A33" s="251" t="s">
        <v>781</v>
      </c>
      <c r="B33" s="254" t="s">
        <v>855</v>
      </c>
      <c r="C33" s="255" t="s">
        <v>782</v>
      </c>
      <c r="D33" s="494">
        <f>SUM('VDOT VMT Totals'!I$23,'VDOT VMT Totals'!I22)*60.6/60.9</f>
        <v>151033298.10189286</v>
      </c>
      <c r="E33" s="546">
        <f>F33*'Transportation Fuel Information'!$R$31</f>
        <v>773093.87858447561</v>
      </c>
      <c r="F33" s="262">
        <f>D33/'Vehicle Fuel Efficiency'!X7</f>
        <v>6430926.9108220739</v>
      </c>
      <c r="G33" s="266">
        <v>8.7799999999999994</v>
      </c>
      <c r="H33" s="267">
        <f>G33*F33</f>
        <v>56463538.277017802</v>
      </c>
      <c r="I33" s="266">
        <f>0.028/1000</f>
        <v>2.8E-5</v>
      </c>
      <c r="J33" s="270">
        <f t="shared" ref="J33:J40" si="20">I33*D33</f>
        <v>4228.9323468530001</v>
      </c>
      <c r="K33" s="271">
        <f t="shared" ref="K33:K40" si="21">J33*24</f>
        <v>101494.376324472</v>
      </c>
      <c r="L33" s="266">
        <f>0.029/1000</f>
        <v>2.9E-5</v>
      </c>
      <c r="M33" s="270">
        <f t="shared" ref="M33:M40" si="22">L33*D33</f>
        <v>4379.9656449548929</v>
      </c>
      <c r="N33" s="271">
        <f t="shared" ref="N33:N40" si="23">M33*310</f>
        <v>1357789.3499360168</v>
      </c>
      <c r="O33" s="273">
        <f>SUM(N33,K33,H33)</f>
        <v>57922822.003278293</v>
      </c>
    </row>
    <row r="34" spans="1:15">
      <c r="A34" s="252" t="s">
        <v>781</v>
      </c>
      <c r="B34" s="256" t="s">
        <v>862</v>
      </c>
      <c r="C34" s="257" t="s">
        <v>782</v>
      </c>
      <c r="D34" s="495">
        <f>SUM('VDOT VMT Totals'!I$23,'VDOT VMT Totals'!I22)*0.3/60.9</f>
        <v>747689.5945638261</v>
      </c>
      <c r="E34" s="547">
        <f>F34*'Transportation Fuel Information'!$R$32</f>
        <v>4231.5180710490895</v>
      </c>
      <c r="F34" s="263">
        <f>D34/'Vehicle Fuel Efficiency'!X7</f>
        <v>31836.271835752843</v>
      </c>
      <c r="G34" s="72">
        <v>10.210000000000001</v>
      </c>
      <c r="H34" s="268">
        <f t="shared" ref="H34:H40" si="24">G34*F34</f>
        <v>325048.33544303657</v>
      </c>
      <c r="I34" s="72">
        <f>0.001/1000</f>
        <v>9.9999999999999995E-7</v>
      </c>
      <c r="J34" s="248">
        <f t="shared" si="20"/>
        <v>0.74768959456382611</v>
      </c>
      <c r="K34" s="161">
        <f t="shared" si="21"/>
        <v>17.944550269531828</v>
      </c>
      <c r="L34" s="72">
        <f>0.001/1000</f>
        <v>9.9999999999999995E-7</v>
      </c>
      <c r="M34" s="248">
        <f t="shared" si="22"/>
        <v>0.74768959456382611</v>
      </c>
      <c r="N34" s="161">
        <f t="shared" si="23"/>
        <v>231.78377431478609</v>
      </c>
      <c r="O34" s="274">
        <f t="shared" ref="O34:O40" si="25">SUM(N34,K34,H34)</f>
        <v>325298.06376762089</v>
      </c>
    </row>
    <row r="35" spans="1:15">
      <c r="A35" s="252" t="s">
        <v>781</v>
      </c>
      <c r="B35" s="256" t="s">
        <v>856</v>
      </c>
      <c r="C35" s="257" t="s">
        <v>782</v>
      </c>
      <c r="D35" s="495">
        <f>'VDOT VMT Totals'!I$24*32.4/33.7</f>
        <v>20993897.850800455</v>
      </c>
      <c r="E35" s="547">
        <f>F35*'Transportation Fuel Information'!$R$31</f>
        <v>146548.36926037513</v>
      </c>
      <c r="F35" s="264">
        <f>$D35/'Vehicle Fuel Efficiency'!$X$8</f>
        <v>1219052.2751767677</v>
      </c>
      <c r="G35" s="72">
        <v>8.7799999999999994</v>
      </c>
      <c r="H35" s="268">
        <f t="shared" si="24"/>
        <v>10703278.97605202</v>
      </c>
      <c r="I35" s="72">
        <f>0.031/1000</f>
        <v>3.1000000000000001E-5</v>
      </c>
      <c r="J35" s="248">
        <f t="shared" si="20"/>
        <v>650.81083337481414</v>
      </c>
      <c r="K35" s="161">
        <f t="shared" si="21"/>
        <v>15619.460000995539</v>
      </c>
      <c r="L35" s="72">
        <f>0.043/1000</f>
        <v>4.2999999999999995E-5</v>
      </c>
      <c r="M35" s="248">
        <f t="shared" si="22"/>
        <v>902.73760758441949</v>
      </c>
      <c r="N35" s="161">
        <f t="shared" si="23"/>
        <v>279848.65835117002</v>
      </c>
      <c r="O35" s="274">
        <f t="shared" si="25"/>
        <v>10998747.094404185</v>
      </c>
    </row>
    <row r="36" spans="1:15">
      <c r="A36" s="252" t="s">
        <v>781</v>
      </c>
      <c r="B36" s="256" t="s">
        <v>857</v>
      </c>
      <c r="C36" s="257" t="s">
        <v>782</v>
      </c>
      <c r="D36" s="495">
        <f>'VDOT VMT Totals'!I$24*1.3/33.7</f>
        <v>842347.75327285787</v>
      </c>
      <c r="E36" s="547">
        <f>F36*'Transportation Fuel Information'!$R$32</f>
        <v>6501.2170710387691</v>
      </c>
      <c r="F36" s="264">
        <f>$D36/'Vehicle Fuel Efficiency'!$X$8</f>
        <v>48912.591287956733</v>
      </c>
      <c r="G36" s="72">
        <v>10.210000000000001</v>
      </c>
      <c r="H36" s="268">
        <f t="shared" si="24"/>
        <v>499397.5570500383</v>
      </c>
      <c r="I36" s="72">
        <f>0.001/1000</f>
        <v>9.9999999999999995E-7</v>
      </c>
      <c r="J36" s="248">
        <f t="shared" si="20"/>
        <v>0.84234775327285782</v>
      </c>
      <c r="K36" s="161">
        <f t="shared" si="21"/>
        <v>20.21634607854859</v>
      </c>
      <c r="L36" s="72">
        <f>0.001/1000</f>
        <v>9.9999999999999995E-7</v>
      </c>
      <c r="M36" s="248">
        <f t="shared" si="22"/>
        <v>0.84234775327285782</v>
      </c>
      <c r="N36" s="161">
        <f t="shared" si="23"/>
        <v>261.12780351458593</v>
      </c>
      <c r="O36" s="274">
        <f t="shared" si="25"/>
        <v>499678.90119963145</v>
      </c>
    </row>
    <row r="37" spans="1:15">
      <c r="A37" s="252" t="s">
        <v>853</v>
      </c>
      <c r="B37" s="256" t="s">
        <v>858</v>
      </c>
      <c r="C37" s="257" t="s">
        <v>782</v>
      </c>
      <c r="D37" s="495">
        <f>SUM('VDOT VMT Totals'!I$26:I$31)*0.292</f>
        <v>1180765.9151287959</v>
      </c>
      <c r="E37" s="547">
        <f>F37*'Transportation Fuel Information'!$R$31</f>
        <v>18105.328378470433</v>
      </c>
      <c r="F37" s="263">
        <f>D37/7.84</f>
        <v>150607.89733785662</v>
      </c>
      <c r="G37" s="72">
        <v>8.7799999999999994</v>
      </c>
      <c r="H37" s="268">
        <f t="shared" si="24"/>
        <v>1322337.338626381</v>
      </c>
      <c r="I37" s="72">
        <f>0.033/1000</f>
        <v>3.3000000000000003E-5</v>
      </c>
      <c r="J37" s="248">
        <f t="shared" si="20"/>
        <v>38.965275199250264</v>
      </c>
      <c r="K37" s="161">
        <f t="shared" si="21"/>
        <v>935.16660478200629</v>
      </c>
      <c r="L37" s="72">
        <f>0.0134/1000</f>
        <v>1.34E-5</v>
      </c>
      <c r="M37" s="248">
        <f t="shared" si="22"/>
        <v>15.822263262725865</v>
      </c>
      <c r="N37" s="161">
        <f t="shared" si="23"/>
        <v>4904.9016114450187</v>
      </c>
      <c r="O37" s="274">
        <f t="shared" si="25"/>
        <v>1328177.406842608</v>
      </c>
    </row>
    <row r="38" spans="1:15">
      <c r="A38" s="252" t="s">
        <v>853</v>
      </c>
      <c r="B38" s="256" t="s">
        <v>859</v>
      </c>
      <c r="C38" s="257" t="s">
        <v>782</v>
      </c>
      <c r="D38" s="495">
        <f>SUM('VDOT VMT Totals'!I$26:I$31)*0.708</f>
        <v>2862952.9722985872</v>
      </c>
      <c r="E38" s="547">
        <f>F38*'Transportation Fuel Information'!$R$32</f>
        <v>52486.81300869886</v>
      </c>
      <c r="F38" s="263">
        <f>D38/7.25</f>
        <v>394890.06514463271</v>
      </c>
      <c r="G38" s="72">
        <v>10.210000000000001</v>
      </c>
      <c r="H38" s="268">
        <f t="shared" si="24"/>
        <v>4031827.5651267003</v>
      </c>
      <c r="I38" s="72">
        <f>0.0051/1000</f>
        <v>5.1000000000000003E-6</v>
      </c>
      <c r="J38" s="248">
        <f t="shared" si="20"/>
        <v>14.601060158722795</v>
      </c>
      <c r="K38" s="161">
        <f t="shared" si="21"/>
        <v>350.42544380934709</v>
      </c>
      <c r="L38" s="72">
        <f>0.0048/1000</f>
        <v>4.7999999999999998E-6</v>
      </c>
      <c r="M38" s="248">
        <f t="shared" si="22"/>
        <v>13.742174267033217</v>
      </c>
      <c r="N38" s="161">
        <f t="shared" si="23"/>
        <v>4260.0740227802971</v>
      </c>
      <c r="O38" s="274">
        <f t="shared" si="25"/>
        <v>4036438.06459329</v>
      </c>
    </row>
    <row r="39" spans="1:15">
      <c r="A39" s="252" t="s">
        <v>853</v>
      </c>
      <c r="B39" s="256" t="s">
        <v>860</v>
      </c>
      <c r="C39" s="257" t="s">
        <v>782</v>
      </c>
      <c r="D39" s="495">
        <f>SUM('VDOT VMT Totals'!I$32:I$33,'VDOT VMT Totals'!I25)*0.025</f>
        <v>33120.765882456501</v>
      </c>
      <c r="E39" s="547">
        <f>F39*'Transportation Fuel Information'!$R$31</f>
        <v>492.77387011875106</v>
      </c>
      <c r="F39" s="263">
        <f>D39/8.08</f>
        <v>4099.1046884228344</v>
      </c>
      <c r="G39" s="72">
        <v>8.7799999999999994</v>
      </c>
      <c r="H39" s="268">
        <f t="shared" si="24"/>
        <v>35990.139164352484</v>
      </c>
      <c r="I39" s="72">
        <f>0.033/1000</f>
        <v>3.3000000000000003E-5</v>
      </c>
      <c r="J39" s="248">
        <f t="shared" si="20"/>
        <v>1.0929852741210646</v>
      </c>
      <c r="K39" s="161">
        <f t="shared" si="21"/>
        <v>26.231646578905551</v>
      </c>
      <c r="L39" s="72">
        <f>0.034/1000</f>
        <v>3.4E-5</v>
      </c>
      <c r="M39" s="248">
        <f t="shared" si="22"/>
        <v>1.126106040003521</v>
      </c>
      <c r="N39" s="161">
        <f t="shared" si="23"/>
        <v>349.09287240109148</v>
      </c>
      <c r="O39" s="274">
        <f t="shared" si="25"/>
        <v>36365.463683332484</v>
      </c>
    </row>
    <row r="40" spans="1:15">
      <c r="A40" s="253" t="s">
        <v>853</v>
      </c>
      <c r="B40" s="258" t="s">
        <v>861</v>
      </c>
      <c r="C40" s="259" t="s">
        <v>782</v>
      </c>
      <c r="D40" s="496">
        <f>SUM('VDOT VMT Totals'!I$32:I$33,'VDOT VMT Totals'!I25)*0.975</f>
        <v>1291709.8694158036</v>
      </c>
      <c r="E40" s="545">
        <f>F40*'Transportation Fuel Information'!$R$32</f>
        <v>34406.336130942189</v>
      </c>
      <c r="F40" s="265">
        <f>D40/4.99</f>
        <v>258859.6932697001</v>
      </c>
      <c r="G40" s="217">
        <v>10.210000000000001</v>
      </c>
      <c r="H40" s="269">
        <f t="shared" si="24"/>
        <v>2642957.4682836384</v>
      </c>
      <c r="I40" s="217">
        <f>0.0051/1000</f>
        <v>5.1000000000000003E-6</v>
      </c>
      <c r="J40" s="272">
        <f t="shared" si="20"/>
        <v>6.5877203340205988</v>
      </c>
      <c r="K40" s="162">
        <f t="shared" si="21"/>
        <v>158.10528801649437</v>
      </c>
      <c r="L40" s="217">
        <f>0.0048/1000</f>
        <v>4.7999999999999998E-6</v>
      </c>
      <c r="M40" s="272">
        <f t="shared" si="22"/>
        <v>6.2002073731958571</v>
      </c>
      <c r="N40" s="162">
        <f t="shared" si="23"/>
        <v>1922.0642856907157</v>
      </c>
      <c r="O40" s="275">
        <f t="shared" si="25"/>
        <v>2645037.6378573454</v>
      </c>
    </row>
    <row r="41" spans="1:15">
      <c r="C41" s="167" t="s">
        <v>863</v>
      </c>
      <c r="D41" s="479">
        <f>SUM(D33:D40)</f>
        <v>178985782.82325563</v>
      </c>
      <c r="E41" s="545">
        <f>SUM(E33:E40)</f>
        <v>1035866.2343751689</v>
      </c>
      <c r="F41" s="281"/>
      <c r="G41" s="485"/>
      <c r="H41" s="282">
        <f t="shared" ref="H41" si="26">SUM(H33:H40)</f>
        <v>76024375.656763971</v>
      </c>
      <c r="I41" s="281"/>
      <c r="J41" s="281">
        <f t="shared" ref="J41:K41" si="27">SUM(J33:J40)</f>
        <v>4942.580258541765</v>
      </c>
      <c r="K41" s="281">
        <f t="shared" si="27"/>
        <v>118621.92620500238</v>
      </c>
      <c r="L41" s="485"/>
      <c r="M41" s="281">
        <f t="shared" ref="M41:O41" si="28">SUM(M33:M40)</f>
        <v>5321.1840408301068</v>
      </c>
      <c r="N41" s="282">
        <f t="shared" si="28"/>
        <v>1649567.0526573332</v>
      </c>
      <c r="O41" s="282">
        <f t="shared" si="28"/>
        <v>77792564.635626316</v>
      </c>
    </row>
    <row r="42" spans="1:15" s="697" customFormat="1">
      <c r="A42" s="185" t="s">
        <v>2061</v>
      </c>
      <c r="C42" s="1023"/>
      <c r="D42" s="628"/>
      <c r="E42" s="628"/>
      <c r="F42" s="628"/>
      <c r="G42" s="628"/>
      <c r="H42" s="628"/>
      <c r="I42" s="628"/>
      <c r="J42" s="628"/>
      <c r="K42" s="628"/>
      <c r="L42" s="628"/>
      <c r="M42" s="628"/>
      <c r="N42" s="628"/>
      <c r="O42" s="628"/>
    </row>
    <row r="43" spans="1:15" s="697" customFormat="1" ht="18">
      <c r="B43" s="2"/>
      <c r="D43" s="150"/>
      <c r="E43" s="698"/>
      <c r="F43" s="698"/>
      <c r="G43" s="1038" t="s">
        <v>774</v>
      </c>
      <c r="H43" s="1039"/>
      <c r="I43" s="1038" t="s">
        <v>775</v>
      </c>
      <c r="J43" s="1040"/>
      <c r="K43" s="1039"/>
      <c r="L43" s="1038" t="s">
        <v>776</v>
      </c>
      <c r="M43" s="1040"/>
      <c r="N43" s="1039"/>
    </row>
    <row r="44" spans="1:15" s="697" customFormat="1" ht="30">
      <c r="A44" s="792" t="s">
        <v>58</v>
      </c>
      <c r="B44" s="793" t="s">
        <v>2065</v>
      </c>
      <c r="C44" s="794" t="s">
        <v>54</v>
      </c>
      <c r="D44" s="480" t="s">
        <v>2067</v>
      </c>
      <c r="E44" s="1049" t="s">
        <v>696</v>
      </c>
      <c r="F44" s="1050"/>
      <c r="G44" s="657" t="s">
        <v>777</v>
      </c>
      <c r="H44" s="656" t="s">
        <v>778</v>
      </c>
      <c r="I44" s="169" t="s">
        <v>777</v>
      </c>
      <c r="J44" s="168" t="s">
        <v>778</v>
      </c>
      <c r="K44" s="658" t="s">
        <v>780</v>
      </c>
      <c r="L44" s="657" t="s">
        <v>777</v>
      </c>
      <c r="M44" s="168" t="s">
        <v>778</v>
      </c>
      <c r="N44" s="658" t="s">
        <v>780</v>
      </c>
      <c r="O44" s="172" t="s">
        <v>779</v>
      </c>
    </row>
    <row r="45" spans="1:15" s="697" customFormat="1">
      <c r="A45" s="630" t="s">
        <v>2074</v>
      </c>
      <c r="B45" s="795" t="s">
        <v>2073</v>
      </c>
      <c r="C45" s="632" t="s">
        <v>2063</v>
      </c>
      <c r="D45" s="175">
        <f>'Wastewater Data'!L$7</f>
        <v>857398382.28571427</v>
      </c>
      <c r="E45" s="1029"/>
      <c r="F45" s="1030"/>
      <c r="G45" s="249"/>
      <c r="H45" s="178"/>
      <c r="I45" s="176"/>
      <c r="J45" s="155">
        <f>D45/36525*1.25*0.09*(1-0.325)*0.6*0.8*365.25</f>
        <v>312521.71034314291</v>
      </c>
      <c r="K45" s="161">
        <f>J45*24</f>
        <v>7500521.0482354295</v>
      </c>
      <c r="L45" s="176"/>
      <c r="M45" s="155"/>
      <c r="N45" s="161"/>
      <c r="O45" s="183">
        <f t="shared" ref="O45:O47" si="29">SUM(H45,K45,N45)</f>
        <v>7500521.0482354295</v>
      </c>
    </row>
    <row r="46" spans="1:15" s="697" customFormat="1">
      <c r="A46" s="165" t="s">
        <v>2069</v>
      </c>
      <c r="B46" s="153" t="s">
        <v>2070</v>
      </c>
      <c r="C46" s="156" t="s">
        <v>2063</v>
      </c>
      <c r="D46" s="175">
        <f>'Wastewater Data'!L$7</f>
        <v>857398382.28571427</v>
      </c>
      <c r="E46" s="1031"/>
      <c r="F46" s="1032"/>
      <c r="G46" s="249"/>
      <c r="H46" s="178"/>
      <c r="I46" s="176"/>
      <c r="J46" s="155"/>
      <c r="K46" s="161"/>
      <c r="L46" s="176"/>
      <c r="M46" s="155">
        <f>D46/36500*1.25*7/1000</f>
        <v>205.54070808219177</v>
      </c>
      <c r="N46" s="161">
        <f>M46*310</f>
        <v>63717.619505479452</v>
      </c>
      <c r="O46" s="183">
        <f t="shared" si="29"/>
        <v>63717.619505479452</v>
      </c>
    </row>
    <row r="47" spans="1:15" s="697" customFormat="1">
      <c r="A47" s="165" t="s">
        <v>2075</v>
      </c>
      <c r="B47" s="153" t="s">
        <v>2076</v>
      </c>
      <c r="C47" s="156" t="s">
        <v>2063</v>
      </c>
      <c r="D47" s="175">
        <f>'Wastewater Data'!L$7</f>
        <v>857398382.28571427</v>
      </c>
      <c r="E47" s="1031"/>
      <c r="F47" s="1032"/>
      <c r="G47" s="249"/>
      <c r="H47" s="178"/>
      <c r="I47" s="176"/>
      <c r="J47" s="155"/>
      <c r="K47" s="161"/>
      <c r="L47" s="176"/>
      <c r="M47" s="155">
        <f>D47/36525*1.25*0.026*0.005*0.005*44/28*(1-0.07)*365.25</f>
        <v>10.180840255372958</v>
      </c>
      <c r="N47" s="161">
        <f>M47*310</f>
        <v>3156.0604791656169</v>
      </c>
      <c r="O47" s="183">
        <f t="shared" si="29"/>
        <v>3156.0604791656169</v>
      </c>
    </row>
    <row r="48" spans="1:15" s="697" customFormat="1">
      <c r="A48" s="166" t="s">
        <v>2068</v>
      </c>
      <c r="B48" s="158" t="s">
        <v>2071</v>
      </c>
      <c r="C48" s="160" t="s">
        <v>2063</v>
      </c>
      <c r="D48" s="175">
        <f>'Wastewater Data'!L$7</f>
        <v>857398382.28571427</v>
      </c>
      <c r="E48" s="1033">
        <f>(D48*2000+D48*280)/1000000*3412.14/1000000</f>
        <v>6670.2843607818195</v>
      </c>
      <c r="F48" s="1034"/>
      <c r="G48" s="249">
        <f>'APCO Emission Factors'!I$4*0.454/3412.12*1000</f>
        <v>211.82373421802285</v>
      </c>
      <c r="H48" s="178">
        <f>G48*E48</f>
        <v>1412924.5415968825</v>
      </c>
      <c r="I48" s="176">
        <f>18.12*0.454/3412.12</f>
        <v>2.4109585829337776E-3</v>
      </c>
      <c r="J48" s="155">
        <f>I48*E48</f>
        <v>16.081779330235875</v>
      </c>
      <c r="K48" s="161">
        <f>J48*24</f>
        <v>385.962703925661</v>
      </c>
      <c r="L48" s="176">
        <f>25.13*0.454/3412.12</f>
        <v>3.3436749000621316E-3</v>
      </c>
      <c r="M48" s="155">
        <f>L48*E48</f>
        <v>22.30326239342315</v>
      </c>
      <c r="N48" s="161">
        <f t="shared" ref="N48" si="30">M48*310</f>
        <v>6914.0113419611762</v>
      </c>
      <c r="O48" s="183">
        <f>SUM(H48,K48,N48)</f>
        <v>1420224.5156427692</v>
      </c>
    </row>
    <row r="49" spans="1:16" s="697" customFormat="1">
      <c r="C49" s="629" t="s">
        <v>863</v>
      </c>
      <c r="D49" s="479"/>
      <c r="E49" s="1033">
        <f>SUM(E48:E48)</f>
        <v>6670.2843607818195</v>
      </c>
      <c r="F49" s="1034"/>
      <c r="G49" s="653"/>
      <c r="H49" s="654">
        <f>SUM(H48:H48)</f>
        <v>1412924.5415968825</v>
      </c>
      <c r="I49" s="653"/>
      <c r="J49" s="281">
        <f>SUM(J48:J48)</f>
        <v>16.081779330235875</v>
      </c>
      <c r="K49" s="654">
        <f>SUM(K48:K48)</f>
        <v>385.962703925661</v>
      </c>
      <c r="L49" s="653"/>
      <c r="M49" s="281">
        <f>SUM(M48:M48)</f>
        <v>22.30326239342315</v>
      </c>
      <c r="N49" s="654">
        <f>SUM(N48:N48)</f>
        <v>6914.0113419611762</v>
      </c>
      <c r="O49" s="654">
        <f>SUM(O45:O48)</f>
        <v>8987619.2438628431</v>
      </c>
    </row>
    <row r="50" spans="1:16" s="697" customFormat="1">
      <c r="A50" s="185" t="s">
        <v>2247</v>
      </c>
      <c r="C50" s="627"/>
      <c r="D50" s="628"/>
      <c r="E50" s="628"/>
      <c r="F50" s="628"/>
      <c r="G50" s="628"/>
      <c r="H50" s="628"/>
      <c r="I50" s="628"/>
      <c r="J50" s="628"/>
      <c r="K50" s="628"/>
      <c r="L50" s="628"/>
      <c r="M50" s="628"/>
      <c r="N50" s="628"/>
      <c r="O50" s="628"/>
    </row>
    <row r="51" spans="1:16" s="697" customFormat="1" ht="18">
      <c r="B51" s="2"/>
      <c r="D51" s="150"/>
      <c r="E51" s="698"/>
      <c r="F51" s="698"/>
      <c r="G51" s="1038" t="s">
        <v>774</v>
      </c>
      <c r="H51" s="1039"/>
      <c r="I51" s="1038" t="s">
        <v>775</v>
      </c>
      <c r="J51" s="1040"/>
      <c r="K51" s="1039"/>
      <c r="L51" s="1038" t="s">
        <v>776</v>
      </c>
      <c r="M51" s="1040"/>
      <c r="N51" s="1039"/>
    </row>
    <row r="52" spans="1:16" s="697" customFormat="1" ht="32.25" customHeight="1">
      <c r="A52" s="172" t="s">
        <v>58</v>
      </c>
      <c r="B52" s="655" t="s">
        <v>2065</v>
      </c>
      <c r="C52" s="168" t="s">
        <v>54</v>
      </c>
      <c r="D52" s="480" t="s">
        <v>2244</v>
      </c>
      <c r="E52" s="1027" t="s">
        <v>696</v>
      </c>
      <c r="F52" s="1028"/>
      <c r="G52" s="49" t="s">
        <v>777</v>
      </c>
      <c r="H52" s="873" t="s">
        <v>778</v>
      </c>
      <c r="I52" s="49" t="s">
        <v>777</v>
      </c>
      <c r="J52" s="873" t="s">
        <v>778</v>
      </c>
      <c r="K52" s="873" t="s">
        <v>780</v>
      </c>
      <c r="L52" s="49" t="s">
        <v>777</v>
      </c>
      <c r="M52" s="794" t="s">
        <v>778</v>
      </c>
      <c r="N52" s="873" t="s">
        <v>780</v>
      </c>
      <c r="O52" s="172" t="s">
        <v>779</v>
      </c>
    </row>
    <row r="53" spans="1:16" s="697" customFormat="1">
      <c r="A53" s="630" t="s">
        <v>2170</v>
      </c>
      <c r="B53" s="631" t="s">
        <v>2171</v>
      </c>
      <c r="C53" s="632" t="s">
        <v>2077</v>
      </c>
      <c r="D53" s="490">
        <f>'Solid Waste Calculations'!F$13</f>
        <v>16864.502487223683</v>
      </c>
      <c r="E53" s="1029"/>
      <c r="F53" s="1030"/>
      <c r="G53" s="497"/>
      <c r="H53" s="498">
        <f>G53*E53</f>
        <v>0</v>
      </c>
      <c r="I53" s="874"/>
      <c r="J53" s="875">
        <f>(1-0.75)*(1-0.1)*D53*0.06</f>
        <v>227.67078357751973</v>
      </c>
      <c r="K53" s="271">
        <f>J53*24</f>
        <v>5464.0988058604735</v>
      </c>
      <c r="L53" s="874"/>
      <c r="M53" s="875"/>
      <c r="N53" s="271"/>
      <c r="O53" s="183">
        <f>SUM(H53,K53,N53)</f>
        <v>5464.0988058604735</v>
      </c>
    </row>
    <row r="54" spans="1:16" s="697" customFormat="1">
      <c r="A54" s="165" t="s">
        <v>2074</v>
      </c>
      <c r="B54" s="152" t="s">
        <v>2245</v>
      </c>
      <c r="C54" s="156" t="s">
        <v>2077</v>
      </c>
      <c r="D54" s="490">
        <f>'Solid Waste Calculations'!F$13</f>
        <v>16864.502487223683</v>
      </c>
      <c r="E54" s="1031"/>
      <c r="F54" s="1032"/>
      <c r="G54" s="492"/>
      <c r="H54" s="178">
        <f>D54*0.0164*1000</f>
        <v>276577.84079046844</v>
      </c>
      <c r="I54" s="876"/>
      <c r="J54" s="155"/>
      <c r="K54" s="161"/>
      <c r="L54" s="876"/>
      <c r="M54" s="155"/>
      <c r="N54" s="161"/>
      <c r="O54" s="183">
        <f t="shared" ref="O54:O55" si="31">SUM(H54,K54,N54)</f>
        <v>276577.84079046844</v>
      </c>
    </row>
    <row r="55" spans="1:16" s="697" customFormat="1">
      <c r="A55" s="166" t="s">
        <v>2069</v>
      </c>
      <c r="B55" s="157" t="s">
        <v>2246</v>
      </c>
      <c r="C55" s="160" t="s">
        <v>2077</v>
      </c>
      <c r="D55" s="490">
        <f>'Solid Waste Calculations'!F$13</f>
        <v>16864.502487223683</v>
      </c>
      <c r="E55" s="1033"/>
      <c r="F55" s="1034"/>
      <c r="G55" s="493"/>
      <c r="H55" s="179">
        <f>D55*4*0.00014*1000</f>
        <v>9444.1213928452617</v>
      </c>
      <c r="I55" s="877"/>
      <c r="J55" s="159"/>
      <c r="K55" s="162"/>
      <c r="L55" s="877"/>
      <c r="M55" s="159"/>
      <c r="N55" s="162"/>
      <c r="O55" s="183">
        <f t="shared" si="31"/>
        <v>9444.1213928452617</v>
      </c>
    </row>
    <row r="56" spans="1:16" s="697" customFormat="1">
      <c r="C56" s="629" t="s">
        <v>863</v>
      </c>
      <c r="D56" s="479"/>
      <c r="E56" s="1025">
        <f>SUM(E53:E55)</f>
        <v>0</v>
      </c>
      <c r="F56" s="1026"/>
      <c r="G56" s="653"/>
      <c r="H56" s="654">
        <f>SUM(H53:H55)</f>
        <v>286021.96218331368</v>
      </c>
      <c r="I56" s="653"/>
      <c r="J56" s="281">
        <f>SUM(J53:J55)</f>
        <v>227.67078357751973</v>
      </c>
      <c r="K56" s="654">
        <f>SUM(K53:K55)</f>
        <v>5464.0988058604735</v>
      </c>
      <c r="L56" s="653"/>
      <c r="M56" s="281"/>
      <c r="N56" s="654"/>
      <c r="O56" s="654">
        <f>SUM(O53:O55)</f>
        <v>291486.06098917418</v>
      </c>
    </row>
    <row r="57" spans="1:16" ht="15.75" thickBot="1">
      <c r="F57"/>
    </row>
    <row r="58" spans="1:16" ht="15.75" thickBot="1">
      <c r="C58" s="276"/>
      <c r="E58" s="150"/>
      <c r="F58" s="247"/>
      <c r="G58" s="277" t="s">
        <v>864</v>
      </c>
      <c r="H58" s="278">
        <f>SUM(H41,H29,H17,H10)</f>
        <v>404864400.67810202</v>
      </c>
      <c r="I58" s="279"/>
      <c r="J58" s="278">
        <f>SUM(J41,J29,J17,J10)</f>
        <v>11975.877912901613</v>
      </c>
      <c r="K58" s="278">
        <f>SUM(K41,K29,K17,K10)</f>
        <v>287421.06990963878</v>
      </c>
      <c r="L58" s="279"/>
      <c r="M58" s="278">
        <f>SUM(M41,M29,M17,M10)</f>
        <v>9603.4859105684245</v>
      </c>
      <c r="N58" s="278">
        <f>SUM(N41,N29,N17,N10)</f>
        <v>2977080.6322762114</v>
      </c>
      <c r="O58" s="280">
        <f>SUM(O41,O29,O17,O10)</f>
        <v>408128902.38028783</v>
      </c>
    </row>
    <row r="59" spans="1:16">
      <c r="G59" s="55"/>
      <c r="P59" t="s">
        <v>865</v>
      </c>
    </row>
    <row r="60" spans="1:16" ht="30">
      <c r="A60" s="878" t="s">
        <v>868</v>
      </c>
      <c r="B60" s="1015" t="s">
        <v>970</v>
      </c>
      <c r="C60" s="985" t="s">
        <v>2530</v>
      </c>
    </row>
    <row r="61" spans="1:16">
      <c r="A61" s="56" t="s">
        <v>55</v>
      </c>
      <c r="B61" s="1016">
        <f>SUM(E6,E14:F16,E21,E25)</f>
        <v>957273.58369880752</v>
      </c>
      <c r="C61" s="273">
        <f>SUM(O6,O14,O15,O16,O21,O25)</f>
        <v>151678605.02536643</v>
      </c>
    </row>
    <row r="62" spans="1:16">
      <c r="A62" s="879" t="s">
        <v>56</v>
      </c>
      <c r="B62" s="1017">
        <f>SUM(E7,E22,E26)</f>
        <v>608675.11525736633</v>
      </c>
      <c r="C62" s="274">
        <f>SUM(O22,O26,O7)</f>
        <v>99611533.8612957</v>
      </c>
    </row>
    <row r="63" spans="1:16">
      <c r="A63" s="879" t="s">
        <v>57</v>
      </c>
      <c r="B63" s="1017">
        <f>SUM(E8,E23,E27)</f>
        <v>492087.18428196176</v>
      </c>
      <c r="C63" s="274">
        <f>SUM(O8,O23,O27)</f>
        <v>63594958.241846211</v>
      </c>
    </row>
    <row r="64" spans="1:16">
      <c r="A64" s="879" t="s">
        <v>2267</v>
      </c>
      <c r="B64" s="1017">
        <f>SUM(E9,E24,E28)</f>
        <v>105237.58418972719</v>
      </c>
      <c r="C64" s="274">
        <f>SUM(O9,O24,O28)</f>
        <v>15451240.616153196</v>
      </c>
    </row>
    <row r="65" spans="1:3">
      <c r="A65" s="879" t="s">
        <v>782</v>
      </c>
      <c r="B65" s="1017">
        <f>SUM(E33:E40)</f>
        <v>1035866.2343751689</v>
      </c>
      <c r="C65" s="274">
        <f>SUM(O33:O40)</f>
        <v>77792564.635626316</v>
      </c>
    </row>
    <row r="66" spans="1:3">
      <c r="A66" s="880" t="s">
        <v>2248</v>
      </c>
      <c r="B66" s="1018">
        <f>SUM(E48)</f>
        <v>6670.2843607818195</v>
      </c>
      <c r="C66" s="274">
        <f>O49</f>
        <v>8987619.2438628431</v>
      </c>
    </row>
    <row r="67" spans="1:3">
      <c r="A67" s="881" t="s">
        <v>2077</v>
      </c>
      <c r="B67" s="881"/>
      <c r="C67" s="275">
        <f>O56</f>
        <v>291486.06098917418</v>
      </c>
    </row>
    <row r="68" spans="1:3">
      <c r="A68" s="697"/>
      <c r="B68" s="697"/>
      <c r="C68" s="697"/>
    </row>
    <row r="69" spans="1:3" ht="30">
      <c r="A69" s="1021" t="s">
        <v>2101</v>
      </c>
      <c r="B69" s="942" t="s">
        <v>970</v>
      </c>
      <c r="C69" s="986" t="s">
        <v>2530</v>
      </c>
    </row>
    <row r="70" spans="1:3">
      <c r="A70" s="1019" t="s">
        <v>2</v>
      </c>
      <c r="B70" s="274">
        <f>SUM(E6:F9)</f>
        <v>879200.92206533579</v>
      </c>
      <c r="C70" s="1022">
        <f>SUM(O6:O9)</f>
        <v>46618967.90539185</v>
      </c>
    </row>
    <row r="71" spans="1:3">
      <c r="A71" s="1019" t="s">
        <v>2531</v>
      </c>
      <c r="B71" s="274">
        <f>SUM(E14:F16)</f>
        <v>40457.800000000003</v>
      </c>
      <c r="C71" s="1022">
        <f>SUM(O14:O16)</f>
        <v>3044183.3840289852</v>
      </c>
    </row>
    <row r="72" spans="1:3">
      <c r="A72" s="1019" t="s">
        <v>588</v>
      </c>
      <c r="B72" s="274">
        <f>SUM(E21:F28,E48)</f>
        <v>1250285.0297233087</v>
      </c>
      <c r="C72" s="1022">
        <f>SUM(O21:O28,O48)</f>
        <v>282093410.97088343</v>
      </c>
    </row>
    <row r="73" spans="1:3">
      <c r="A73" s="1020" t="s">
        <v>2532</v>
      </c>
      <c r="B73" s="275">
        <f>SUM(E33:E40)</f>
        <v>1035866.2343751689</v>
      </c>
      <c r="C73" s="890">
        <f>SUM(O33:O40)</f>
        <v>77792564.635626316</v>
      </c>
    </row>
  </sheetData>
  <mergeCells count="54">
    <mergeCell ref="E49:F49"/>
    <mergeCell ref="G51:H51"/>
    <mergeCell ref="I51:K51"/>
    <mergeCell ref="E56:F56"/>
    <mergeCell ref="L51:N51"/>
    <mergeCell ref="E52:F52"/>
    <mergeCell ref="E53:F53"/>
    <mergeCell ref="E54:F54"/>
    <mergeCell ref="E55:F55"/>
    <mergeCell ref="E44:F44"/>
    <mergeCell ref="E45:F45"/>
    <mergeCell ref="E46:F46"/>
    <mergeCell ref="E47:F47"/>
    <mergeCell ref="E48:F48"/>
    <mergeCell ref="E28:F28"/>
    <mergeCell ref="E29:F29"/>
    <mergeCell ref="G43:H43"/>
    <mergeCell ref="I43:K43"/>
    <mergeCell ref="L43:N43"/>
    <mergeCell ref="E23:F23"/>
    <mergeCell ref="E24:F24"/>
    <mergeCell ref="E25:F25"/>
    <mergeCell ref="E26:F26"/>
    <mergeCell ref="E27:F27"/>
    <mergeCell ref="E18:F18"/>
    <mergeCell ref="E19:F19"/>
    <mergeCell ref="E20:F20"/>
    <mergeCell ref="E21:F21"/>
    <mergeCell ref="E22:F22"/>
    <mergeCell ref="E13:F13"/>
    <mergeCell ref="E14:F14"/>
    <mergeCell ref="E15:F15"/>
    <mergeCell ref="E16:F16"/>
    <mergeCell ref="E17:F17"/>
    <mergeCell ref="E5:F5"/>
    <mergeCell ref="G4:H4"/>
    <mergeCell ref="I4:K4"/>
    <mergeCell ref="L4:N4"/>
    <mergeCell ref="G12:H12"/>
    <mergeCell ref="I12:K12"/>
    <mergeCell ref="L12:N12"/>
    <mergeCell ref="E10:F10"/>
    <mergeCell ref="E6:F6"/>
    <mergeCell ref="E7:F7"/>
    <mergeCell ref="E8:F8"/>
    <mergeCell ref="E9:F9"/>
    <mergeCell ref="E11:F11"/>
    <mergeCell ref="E12:F12"/>
    <mergeCell ref="G19:H19"/>
    <mergeCell ref="I19:K19"/>
    <mergeCell ref="L19:N19"/>
    <mergeCell ref="G31:H31"/>
    <mergeCell ref="I31:K31"/>
    <mergeCell ref="L31:N31"/>
  </mergeCells>
  <hyperlinks>
    <hyperlink ref="E5" location="'Natural Gas Energy Content'!A1" tooltip="Natural Gas Energy Content" display="Energy Quantity (MMBtu)"/>
    <hyperlink ref="G5" location="'Default Emissions Factors'!A1" tooltip="Default Emissions Factors" display="CO2 Emission Coefficient"/>
    <hyperlink ref="D20" location="'2010 - 2012 APCO Billed kWh''s'!A1" tooltip="APCO Billed kWh's" display="Quantity (kWh)"/>
    <hyperlink ref="I5" location="'Default Emissions Factors'!A1" tooltip="Default Emissions Factors" display="Coefficient (kg/MMBtu)"/>
    <hyperlink ref="L5" location="'Default Emissions Factors'!A1" tooltip="Default Emissions Factors" display="CO2 Emission Coefficient"/>
    <hyperlink ref="G13" location="'Default Emissions Factors'!A1" tooltip="Default Emissions Factors" display="CO2 Emission Coefficient"/>
    <hyperlink ref="I13" location="'Default Emissions Factors'!A1" tooltip="Default Emissions Factors" display="CO2 Emission Coefficient"/>
    <hyperlink ref="G20" location="'APCO Emission Factors'!A1" tooltip="APCO Emission Factors" display="Coefficient (kg/MMBtu)"/>
    <hyperlink ref="I20" location="'Default Emissions Factors'!A1" tooltip="Default Emissions Factors" display="Coefficient (kg/MMBtu)"/>
    <hyperlink ref="L13" location="'Default Emissions Factors'!A1" tooltip="Default Emissions Factors" display="CO2 Emission Coefficient"/>
    <hyperlink ref="L20" location="'Default Emissions Factors'!A1" tooltip="Default Emissions Factors" display="CO2 Emission Coefficient"/>
    <hyperlink ref="K5" location="'Global Warming Potentials'!A1" tooltip="Global Warming Potentials" display="CO2 Equivalent (kg)"/>
    <hyperlink ref="K13" location="'Global Warming Potentials'!A1" tooltip="Global Warming Potentials" display="CO2 Equivalent (kg)"/>
    <hyperlink ref="K20" location="'Global Warming Potentials'!A1" tooltip="Global Warming Potentials" display="CO2 Equivalent (kg)"/>
    <hyperlink ref="N20" location="'Global Warming Potentials'!A1" tooltip="Global Warming Potentials" display="CO2 Equivalent (kg)"/>
    <hyperlink ref="N13" location="'Global Warming Potentials'!A1" tooltip="Global Warming Potentials" display="CO2 Equivalent (kg)"/>
    <hyperlink ref="N5" location="'Global Warming Potentials'!A1" tooltip="Global Warming Potentials" display="CO2 Equivalent (kg)"/>
    <hyperlink ref="D32" location="'VDOT VMT Totals'!A1" tooltip="VDOT VMT Totals" display="Quantity (VMT)"/>
    <hyperlink ref="G32" location="'Vehicle Emission Factors'!A1" tooltip="Vehicle Emission Factors" display="Coefficient (kg/gallon)"/>
    <hyperlink ref="I32" location="'Vehicle Emission Factors'!A1" tooltip="Vehicle Emission Factors" display="Coefficient (kg/VMT)"/>
    <hyperlink ref="L32" location="'Vehicle Emission Factors'!A1" tooltip="Vehicle Emission Factors" display="Coefficient (kg/MMBtu)"/>
    <hyperlink ref="K32" location="'Global Warming Potentials'!A1" tooltip="Global Warming Potentials" display="CO2 Equivalent (kg)"/>
    <hyperlink ref="N32" location="'Global Warming Potentials'!A1" tooltip="Global Warming Potentials" display="CO2 Equivalent (kg)"/>
    <hyperlink ref="F32" location="'Vehicle Fuel Efficiency'!A1" tooltip="Vehicle Fuel Efficiency" display="Energy Quantity (Gallons)"/>
    <hyperlink ref="E32" location="'Transportation Fuel Information'!A1" tooltip="Transportation Fuel Information" display="Energy Quantity (MMBtu)"/>
    <hyperlink ref="D5" location="'ATMOS NG Calculations'!A1" tooltip="ATMOS NG Calculations" display="Quantity (Mcf)"/>
    <hyperlink ref="E13" location="'BE.1.2 Calculations'!A1" tooltip="BE.1.2 Calculations" display="Energy Quantity (MMBtu)"/>
    <hyperlink ref="G44" location="'APCO Emission Factors'!A1" tooltip="APCO Emission Factors" display="Coefficient (kg/MMBtu)"/>
    <hyperlink ref="L44" location="'Default Emissions Factors'!A1" tooltip="Default Emissions Factors" display="CO2 Emission Coefficient"/>
    <hyperlink ref="D44" location="'Wastewater Data'!A1" tooltip="Wastewater Data" display="Quantity (Gal)"/>
    <hyperlink ref="N44" location="'Global Warming Potentials'!A1" tooltip="Global Warming Potentials" display="CO2 Equivalent (kg)"/>
    <hyperlink ref="K44" location="'Global Warming Potentials'!A1" tooltip="Global Warming Potentials" display="CO2 Equivalent (kg)"/>
    <hyperlink ref="I44" location="'Default Emissions Factors'!A1" tooltip="Default Emissions Factors" display="Coefficient (kg/MMBtu)"/>
    <hyperlink ref="D52" location="'Solid Waste Calculations'!A1" tooltip="Solid Waste Calculations" display="Quantity (Gal)"/>
    <hyperlink ref="N52" location="'Global Warming Potentials'!A1" tooltip="Global Warming Potentials" display="CO2 Equivalent (kg)"/>
    <hyperlink ref="K52" location="'Global Warming Potentials'!A1" tooltip="Global Warming Potentials" display="CO2 Equivalent (kg)"/>
    <hyperlink ref="H52" location="'Solid Waste Coefficients'!A1" tooltip="Solid Waste Coefficients" display="Quantity (kg)"/>
    <hyperlink ref="J52" location="'Solid Waste Coefficients'!A1" tooltip="Solid Waste Coefficients" display="Quantity (kg)"/>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dimension ref="A1:K24"/>
  <sheetViews>
    <sheetView workbookViewId="0">
      <selection sqref="A1:K1"/>
    </sheetView>
  </sheetViews>
  <sheetFormatPr defaultRowHeight="15"/>
  <cols>
    <col min="1" max="1" width="11.28515625" customWidth="1"/>
    <col min="8" max="8" width="7.28515625" customWidth="1"/>
  </cols>
  <sheetData>
    <row r="1" spans="1:11" s="697" customFormat="1" ht="15" customHeight="1">
      <c r="A1" s="518" t="s">
        <v>52</v>
      </c>
      <c r="B1" s="899" t="s">
        <v>2064</v>
      </c>
      <c r="C1" s="899"/>
      <c r="D1" s="899"/>
      <c r="E1" s="899"/>
      <c r="F1" s="899"/>
      <c r="G1" s="899"/>
      <c r="H1" s="899"/>
      <c r="I1" s="73"/>
      <c r="J1" s="73"/>
      <c r="K1" s="883"/>
    </row>
    <row r="2" spans="1:11">
      <c r="B2" s="524"/>
      <c r="C2" s="524"/>
      <c r="D2" s="524"/>
      <c r="E2" s="524"/>
      <c r="F2" s="524"/>
      <c r="G2" s="524"/>
      <c r="H2" s="524"/>
    </row>
    <row r="22" spans="1:8">
      <c r="B22" s="570"/>
      <c r="C22" s="570"/>
      <c r="D22" s="570"/>
      <c r="E22" s="570"/>
      <c r="F22" s="570"/>
    </row>
    <row r="23" spans="1:8">
      <c r="A23" s="1" t="s">
        <v>2072</v>
      </c>
    </row>
    <row r="24" spans="1:8">
      <c r="G24" s="570"/>
      <c r="H24" s="570"/>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dimension ref="A1:H13"/>
  <sheetViews>
    <sheetView workbookViewId="0">
      <selection sqref="A1:XFD1"/>
    </sheetView>
  </sheetViews>
  <sheetFormatPr defaultRowHeight="15"/>
  <cols>
    <col min="1" max="1" width="27.42578125" bestFit="1" customWidth="1"/>
    <col min="2" max="2" width="11.140625" customWidth="1"/>
    <col min="3" max="7" width="10.5703125" bestFit="1" customWidth="1"/>
    <col min="8" max="8" width="9.5703125" bestFit="1" customWidth="1"/>
  </cols>
  <sheetData>
    <row r="1" spans="1:8" s="697" customFormat="1">
      <c r="A1" s="697" t="s">
        <v>2240</v>
      </c>
    </row>
    <row r="2" spans="1:8" s="697" customFormat="1"/>
    <row r="3" spans="1:8">
      <c r="A3" s="700"/>
      <c r="B3" s="700">
        <v>2006</v>
      </c>
      <c r="C3" s="700">
        <v>2007</v>
      </c>
      <c r="D3" s="700">
        <v>2008</v>
      </c>
      <c r="E3" s="700">
        <v>2009</v>
      </c>
      <c r="F3" s="700">
        <v>2010</v>
      </c>
      <c r="G3" s="700">
        <v>2011</v>
      </c>
      <c r="H3" s="700">
        <v>2012</v>
      </c>
    </row>
    <row r="4" spans="1:8">
      <c r="A4" s="790" t="s">
        <v>2220</v>
      </c>
      <c r="B4" s="791">
        <f>'2006 Bburg DEQ Report'!C36</f>
        <v>4604.8500000000004</v>
      </c>
      <c r="C4" s="791">
        <f>'2007 Bburg DEQ Report'!C37</f>
        <v>4920.3500000000004</v>
      </c>
      <c r="D4" s="791">
        <f>'2008 Bburg DEQ Report'!B49</f>
        <v>4253.6400000000003</v>
      </c>
      <c r="E4" s="791">
        <f>'2009 Bburg DEQ Report'!B50</f>
        <v>4165.43</v>
      </c>
      <c r="F4" s="791">
        <f>'2010 Bburg DEQ Report'!B51</f>
        <v>4313.3999999999996</v>
      </c>
      <c r="G4" s="791">
        <f>'2011 Bburg DEQ Report'!B51</f>
        <v>4291.55</v>
      </c>
      <c r="H4" s="791">
        <f>'2012 Bburg DEQ Report'!B50</f>
        <v>4449.4599999999991</v>
      </c>
    </row>
    <row r="5" spans="1:8" s="697" customFormat="1">
      <c r="A5" s="697" t="s">
        <v>2228</v>
      </c>
      <c r="B5" s="231">
        <f>'2006 Bburg DEQ Report'!E36</f>
        <v>6193.7217600000004</v>
      </c>
      <c r="C5" s="231">
        <f>'2007 Bburg DEQ Report'!E37</f>
        <v>5</v>
      </c>
      <c r="D5" s="231">
        <v>0</v>
      </c>
      <c r="E5" s="231">
        <v>0</v>
      </c>
      <c r="F5" s="231">
        <v>0</v>
      </c>
      <c r="G5" s="231">
        <v>0</v>
      </c>
      <c r="H5" s="231">
        <v>0</v>
      </c>
    </row>
    <row r="6" spans="1:8" s="700" customFormat="1">
      <c r="A6" s="871" t="s">
        <v>2241</v>
      </c>
      <c r="B6" s="872">
        <f>$B5/$B4*B4</f>
        <v>6193.7217600000004</v>
      </c>
      <c r="C6" s="872">
        <f t="shared" ref="C6:H6" si="0">$B5/$B4*C4</f>
        <v>6618.0828608567062</v>
      </c>
      <c r="D6" s="872">
        <f t="shared" si="0"/>
        <v>5721.3291697246168</v>
      </c>
      <c r="E6" s="872">
        <f t="shared" si="0"/>
        <v>5602.6829170888959</v>
      </c>
      <c r="F6" s="872">
        <f t="shared" si="0"/>
        <v>5801.7089459122444</v>
      </c>
      <c r="G6" s="872">
        <f t="shared" si="0"/>
        <v>5772.3197539828661</v>
      </c>
      <c r="H6" s="872">
        <f t="shared" si="0"/>
        <v>5984.715511308641</v>
      </c>
    </row>
    <row r="7" spans="1:8">
      <c r="A7" s="697" t="s">
        <v>56</v>
      </c>
      <c r="B7" s="231">
        <f>'2006 Bburg DEQ Report'!I37</f>
        <v>444.02834000000001</v>
      </c>
      <c r="C7" s="231">
        <v>0</v>
      </c>
      <c r="D7" s="231">
        <f>'2008 Bburg DEQ Report'!Q50</f>
        <v>240.45</v>
      </c>
      <c r="E7" s="231">
        <f>SUM('2009 Bburg DEQ Report'!B51,'2009 Bburg DEQ Report'!L51,'2009 Bburg DEQ Report'!O51)</f>
        <v>900.13</v>
      </c>
      <c r="F7" s="231">
        <f>'2010 Bburg DEQ Report'!R52</f>
        <v>416.93</v>
      </c>
      <c r="G7" s="231">
        <f>'2011 Bburg DEQ Report'!P52</f>
        <v>1020</v>
      </c>
      <c r="H7" s="231">
        <f>'2012 Bburg DEQ Report'!D51</f>
        <v>63.53</v>
      </c>
    </row>
    <row r="8" spans="1:8" s="870" customFormat="1">
      <c r="A8" s="871" t="s">
        <v>2243</v>
      </c>
      <c r="B8" s="872">
        <f>SUM($E8,$G8)/SUM($E4,$G4)*B4</f>
        <v>1045.5163226707409</v>
      </c>
      <c r="C8" s="872">
        <f t="shared" ref="C8:H8" si="1">SUM($E8,$G8)/SUM($E4,$G4)*C4</f>
        <v>1117.1495788685797</v>
      </c>
      <c r="D8" s="872">
        <f t="shared" si="1"/>
        <v>965.77522628645238</v>
      </c>
      <c r="E8" s="872">
        <f>E7</f>
        <v>900.13</v>
      </c>
      <c r="F8" s="872">
        <f t="shared" si="1"/>
        <v>979.34354131143743</v>
      </c>
      <c r="G8" s="872">
        <f>G7</f>
        <v>1020</v>
      </c>
      <c r="H8" s="872">
        <f t="shared" si="1"/>
        <v>1010.2355249509872</v>
      </c>
    </row>
    <row r="9" spans="1:8">
      <c r="A9" s="697" t="s">
        <v>2222</v>
      </c>
      <c r="B9" s="231">
        <f>'2006 Bburg DEQ Report'!I38</f>
        <v>41.75</v>
      </c>
      <c r="C9" s="231">
        <f>'2007 Bburg DEQ Report'!I39</f>
        <v>308.73820000000001</v>
      </c>
      <c r="D9" s="231">
        <f>'2008 Bburg DEQ Report'!D51</f>
        <v>5465.45</v>
      </c>
      <c r="E9" s="231">
        <f>'2009 Bburg DEQ Report'!D52</f>
        <v>5830.41</v>
      </c>
      <c r="F9" s="231">
        <f>'2010 Bburg DEQ Report'!D53</f>
        <v>5770.05</v>
      </c>
      <c r="G9" s="231">
        <f>'2011 Bburg DEQ Report'!R53</f>
        <v>363.6</v>
      </c>
      <c r="H9" s="231">
        <f>'2012 Bburg DEQ Report'!R52</f>
        <v>267.26</v>
      </c>
    </row>
    <row r="10" spans="1:8" s="700" customFormat="1">
      <c r="A10" s="871" t="s">
        <v>2242</v>
      </c>
      <c r="B10" s="872">
        <f>SUM($D10:$F10)/SUM($D4:$F4)*B4</f>
        <v>6172.0903849370943</v>
      </c>
      <c r="C10" s="872">
        <f>SUM($D10:$F10)/SUM($D4:$F4)*C4</f>
        <v>6594.9694182275716</v>
      </c>
      <c r="D10" s="872">
        <f>D9</f>
        <v>5465.45</v>
      </c>
      <c r="E10" s="872">
        <f t="shared" ref="E10:F10" si="2">E9</f>
        <v>5830.41</v>
      </c>
      <c r="F10" s="872">
        <f t="shared" si="2"/>
        <v>5770.05</v>
      </c>
      <c r="G10" s="872">
        <f>SUM($D10:$F10)/SUM($D4:$F4)*G4</f>
        <v>5752.1601119421448</v>
      </c>
      <c r="H10" s="872">
        <f>SUM($D10:$F10)/SUM($D4:$F4)*H4</f>
        <v>5963.8140838816025</v>
      </c>
    </row>
    <row r="11" spans="1:8">
      <c r="A11" s="697"/>
      <c r="B11" s="231"/>
      <c r="C11" s="231"/>
      <c r="D11" s="231"/>
      <c r="E11" s="231"/>
      <c r="F11" s="231"/>
      <c r="G11" s="231"/>
      <c r="H11" s="231"/>
    </row>
    <row r="13" spans="1:8">
      <c r="A13" s="50" t="s">
        <v>846</v>
      </c>
      <c r="B13" s="791">
        <f>SUM(B4,B6,B8,B10)</f>
        <v>18016.178467607835</v>
      </c>
      <c r="C13" s="791">
        <f t="shared" ref="C13:H13" si="3">SUM(C4,C6,C8,C10)</f>
        <v>19250.551857952858</v>
      </c>
      <c r="D13" s="791">
        <f t="shared" si="3"/>
        <v>16406.194396011069</v>
      </c>
      <c r="E13" s="791">
        <f t="shared" si="3"/>
        <v>16498.652917088897</v>
      </c>
      <c r="F13" s="791">
        <f t="shared" si="3"/>
        <v>16864.502487223683</v>
      </c>
      <c r="G13" s="791">
        <f t="shared" si="3"/>
        <v>16836.029865925011</v>
      </c>
      <c r="H13" s="791">
        <f t="shared" si="3"/>
        <v>17408.225120141229</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dimension ref="A1:U53"/>
  <sheetViews>
    <sheetView workbookViewId="0">
      <selection sqref="A1:XFD2"/>
    </sheetView>
  </sheetViews>
  <sheetFormatPr defaultRowHeight="15"/>
  <sheetData>
    <row r="1" spans="1:21" s="697" customFormat="1">
      <c r="A1" s="882" t="s">
        <v>2265</v>
      </c>
      <c r="B1" s="73"/>
      <c r="C1" s="73"/>
      <c r="D1" s="883"/>
    </row>
    <row r="2" spans="1:21" s="697" customFormat="1"/>
    <row r="3" spans="1:21">
      <c r="A3" s="800">
        <v>2012</v>
      </c>
      <c r="B3" s="1211" t="s">
        <v>893</v>
      </c>
      <c r="C3" s="1211"/>
      <c r="D3" s="1211" t="s">
        <v>2172</v>
      </c>
      <c r="E3" s="1211"/>
      <c r="F3" s="1209" t="s">
        <v>2173</v>
      </c>
      <c r="G3" s="1209"/>
      <c r="H3" s="1211" t="s">
        <v>2174</v>
      </c>
      <c r="I3" s="1211"/>
      <c r="J3" s="1211" t="s">
        <v>2175</v>
      </c>
      <c r="K3" s="1211"/>
      <c r="L3" s="1211" t="s">
        <v>2176</v>
      </c>
      <c r="M3" s="1211"/>
      <c r="N3" s="1209" t="s">
        <v>2177</v>
      </c>
      <c r="O3" s="1209"/>
      <c r="P3" s="801"/>
      <c r="Q3" s="802"/>
      <c r="R3" s="1209" t="s">
        <v>2178</v>
      </c>
      <c r="S3" s="1210"/>
      <c r="T3" s="804"/>
      <c r="U3" s="801" t="s">
        <v>2179</v>
      </c>
    </row>
    <row r="4" spans="1:21">
      <c r="A4" s="803"/>
      <c r="B4" s="817" t="s">
        <v>2180</v>
      </c>
      <c r="C4" s="817" t="s">
        <v>604</v>
      </c>
      <c r="D4" s="817" t="s">
        <v>2180</v>
      </c>
      <c r="E4" s="817" t="s">
        <v>604</v>
      </c>
      <c r="F4" s="801" t="s">
        <v>2180</v>
      </c>
      <c r="G4" s="801" t="s">
        <v>604</v>
      </c>
      <c r="H4" s="817" t="s">
        <v>2180</v>
      </c>
      <c r="I4" s="817" t="s">
        <v>604</v>
      </c>
      <c r="J4" s="817" t="s">
        <v>2180</v>
      </c>
      <c r="K4" s="817" t="s">
        <v>604</v>
      </c>
      <c r="L4" s="817" t="s">
        <v>2180</v>
      </c>
      <c r="M4" s="817" t="s">
        <v>604</v>
      </c>
      <c r="N4" s="801" t="s">
        <v>2180</v>
      </c>
      <c r="O4" s="801" t="s">
        <v>604</v>
      </c>
      <c r="P4" s="801" t="s">
        <v>2181</v>
      </c>
      <c r="Q4" s="802"/>
      <c r="R4" s="801" t="s">
        <v>2180</v>
      </c>
      <c r="S4" s="801" t="s">
        <v>604</v>
      </c>
      <c r="T4" s="805"/>
      <c r="U4" s="803"/>
    </row>
    <row r="5" spans="1:21">
      <c r="A5" s="800" t="s">
        <v>2182</v>
      </c>
      <c r="B5" s="809"/>
      <c r="C5" s="809"/>
      <c r="D5" s="809"/>
      <c r="E5" s="809"/>
      <c r="F5" s="806"/>
      <c r="G5" s="806"/>
      <c r="H5" s="818">
        <v>6</v>
      </c>
      <c r="I5" s="816"/>
      <c r="J5" s="816"/>
      <c r="K5" s="816"/>
      <c r="L5" s="816"/>
      <c r="M5" s="816"/>
      <c r="N5" s="806"/>
      <c r="O5" s="806"/>
      <c r="P5" s="806"/>
      <c r="Q5" s="808"/>
      <c r="R5" s="806"/>
      <c r="S5" s="806"/>
      <c r="T5" s="808"/>
      <c r="U5" s="806"/>
    </row>
    <row r="6" spans="1:21">
      <c r="A6" s="799" t="s">
        <v>2183</v>
      </c>
      <c r="B6" s="816">
        <v>599.1099999999999</v>
      </c>
      <c r="C6" s="816"/>
      <c r="D6" s="816">
        <v>0.03</v>
      </c>
      <c r="E6" s="816"/>
      <c r="F6" s="814"/>
      <c r="G6" s="806"/>
      <c r="H6" s="816"/>
      <c r="I6" s="816"/>
      <c r="J6" s="816">
        <v>45.5</v>
      </c>
      <c r="K6" s="816">
        <v>722.43000000000006</v>
      </c>
      <c r="L6" s="816"/>
      <c r="M6" s="816">
        <v>0.4</v>
      </c>
      <c r="N6" s="814">
        <v>397.39</v>
      </c>
      <c r="O6" s="814">
        <v>114.375</v>
      </c>
      <c r="P6" s="806"/>
      <c r="Q6" s="808"/>
      <c r="R6" s="806">
        <v>1042.0299999999997</v>
      </c>
      <c r="S6" s="806">
        <v>837.20500000000004</v>
      </c>
      <c r="T6" s="808"/>
      <c r="U6" s="806">
        <v>1879.2349999999997</v>
      </c>
    </row>
    <row r="7" spans="1:21">
      <c r="A7" s="799" t="s">
        <v>2184</v>
      </c>
      <c r="B7" s="816">
        <v>7.0000000000000007E-2</v>
      </c>
      <c r="C7" s="816"/>
      <c r="D7" s="816">
        <v>13.129999999999999</v>
      </c>
      <c r="E7" s="816">
        <v>7.25</v>
      </c>
      <c r="F7" s="814"/>
      <c r="G7" s="806"/>
      <c r="H7" s="816"/>
      <c r="I7" s="816"/>
      <c r="J7" s="819"/>
      <c r="K7" s="816">
        <v>4279.3429999999989</v>
      </c>
      <c r="L7" s="816"/>
      <c r="M7" s="818">
        <v>10</v>
      </c>
      <c r="N7" s="814">
        <v>0.5</v>
      </c>
      <c r="O7" s="814">
        <v>50</v>
      </c>
      <c r="P7" s="806"/>
      <c r="Q7" s="808"/>
      <c r="R7" s="806">
        <v>13.7</v>
      </c>
      <c r="S7" s="806">
        <v>4346.5929999999989</v>
      </c>
      <c r="T7" s="808"/>
      <c r="U7" s="806">
        <v>4360.2929999999988</v>
      </c>
    </row>
    <row r="8" spans="1:21">
      <c r="A8" s="799" t="s">
        <v>2185</v>
      </c>
      <c r="B8" s="809"/>
      <c r="C8" s="809"/>
      <c r="D8" s="816">
        <v>0.08</v>
      </c>
      <c r="E8" s="809"/>
      <c r="F8" s="806"/>
      <c r="G8" s="806"/>
      <c r="H8" s="816"/>
      <c r="I8" s="816"/>
      <c r="J8" s="816"/>
      <c r="K8" s="816">
        <v>25.740000000000002</v>
      </c>
      <c r="L8" s="816"/>
      <c r="M8" s="816"/>
      <c r="N8" s="806"/>
      <c r="O8" s="806"/>
      <c r="P8" s="806"/>
      <c r="Q8" s="808"/>
      <c r="R8" s="806">
        <v>0.08</v>
      </c>
      <c r="S8" s="806">
        <v>25.740000000000002</v>
      </c>
      <c r="T8" s="808"/>
      <c r="U8" s="806">
        <v>25.82</v>
      </c>
    </row>
    <row r="9" spans="1:21">
      <c r="A9" s="799" t="s">
        <v>2186</v>
      </c>
      <c r="B9" s="809"/>
      <c r="C9" s="809"/>
      <c r="D9" s="809"/>
      <c r="E9" s="809"/>
      <c r="F9" s="806"/>
      <c r="G9" s="806"/>
      <c r="H9" s="809"/>
      <c r="I9" s="809"/>
      <c r="J9" s="809"/>
      <c r="K9" s="809"/>
      <c r="L9" s="816"/>
      <c r="M9" s="816"/>
      <c r="N9" s="806"/>
      <c r="O9" s="806"/>
      <c r="P9" s="806"/>
      <c r="Q9" s="808"/>
      <c r="R9" s="806">
        <v>0</v>
      </c>
      <c r="S9" s="806">
        <v>0</v>
      </c>
      <c r="T9" s="808"/>
      <c r="U9" s="806">
        <v>0</v>
      </c>
    </row>
    <row r="10" spans="1:21">
      <c r="A10" s="799" t="s">
        <v>2187</v>
      </c>
      <c r="B10" s="809">
        <v>489.46</v>
      </c>
      <c r="C10" s="809"/>
      <c r="D10" s="809"/>
      <c r="E10" s="809"/>
      <c r="F10" s="806"/>
      <c r="G10" s="806"/>
      <c r="H10" s="809"/>
      <c r="I10" s="809"/>
      <c r="J10" s="798"/>
      <c r="K10" s="809">
        <v>18.440000000000001</v>
      </c>
      <c r="L10" s="816"/>
      <c r="M10" s="816"/>
      <c r="N10" s="816">
        <v>390.07</v>
      </c>
      <c r="O10" s="806"/>
      <c r="P10" s="806"/>
      <c r="Q10" s="808"/>
      <c r="R10" s="806" t="e">
        <v>#REF!</v>
      </c>
      <c r="S10" s="806">
        <v>18.440000000000001</v>
      </c>
      <c r="T10" s="808"/>
      <c r="U10" s="806" t="e">
        <v>#REF!</v>
      </c>
    </row>
    <row r="11" spans="1:21">
      <c r="A11" s="799" t="s">
        <v>2188</v>
      </c>
      <c r="B11" s="809"/>
      <c r="C11" s="809">
        <v>949.80500000000006</v>
      </c>
      <c r="D11" s="809"/>
      <c r="E11" s="809"/>
      <c r="F11" s="806"/>
      <c r="G11" s="806"/>
      <c r="H11" s="809"/>
      <c r="I11" s="820">
        <v>2</v>
      </c>
      <c r="J11" s="809"/>
      <c r="K11" s="809"/>
      <c r="L11" s="816"/>
      <c r="M11" s="816"/>
      <c r="N11" s="806"/>
      <c r="O11" s="806"/>
      <c r="P11" s="806"/>
      <c r="Q11" s="808"/>
      <c r="R11" s="806">
        <v>0</v>
      </c>
      <c r="S11" s="806">
        <v>951.80500000000006</v>
      </c>
      <c r="T11" s="808"/>
      <c r="U11" s="806">
        <v>951.80500000000006</v>
      </c>
    </row>
    <row r="12" spans="1:21">
      <c r="A12" s="799" t="s">
        <v>2189</v>
      </c>
      <c r="B12" s="809"/>
      <c r="C12" s="810">
        <v>2852.2699999999995</v>
      </c>
      <c r="D12" s="809"/>
      <c r="E12" s="809"/>
      <c r="F12" s="806"/>
      <c r="G12" s="806"/>
      <c r="H12" s="809"/>
      <c r="I12" s="809"/>
      <c r="J12" s="820">
        <v>10</v>
      </c>
      <c r="K12" s="809"/>
      <c r="L12" s="816"/>
      <c r="M12" s="816"/>
      <c r="N12" s="806">
        <v>1</v>
      </c>
      <c r="O12" s="806"/>
      <c r="P12" s="815"/>
      <c r="Q12" s="808"/>
      <c r="R12" s="806">
        <v>11</v>
      </c>
      <c r="S12" s="806">
        <v>2852.2699999999995</v>
      </c>
      <c r="T12" s="808"/>
      <c r="U12" s="806">
        <v>2863.2699999999995</v>
      </c>
    </row>
    <row r="13" spans="1:21">
      <c r="A13" s="799" t="s">
        <v>2190</v>
      </c>
      <c r="B13" s="809"/>
      <c r="C13" s="809"/>
      <c r="D13" s="809"/>
      <c r="E13" s="809"/>
      <c r="F13" s="806"/>
      <c r="G13" s="806"/>
      <c r="H13" s="809"/>
      <c r="I13" s="809"/>
      <c r="J13" s="809"/>
      <c r="K13" s="809">
        <v>94.44</v>
      </c>
      <c r="L13" s="816"/>
      <c r="M13" s="816"/>
      <c r="N13" s="806"/>
      <c r="O13" s="806"/>
      <c r="P13" s="806"/>
      <c r="Q13" s="808"/>
      <c r="R13" s="806">
        <v>0</v>
      </c>
      <c r="S13" s="806">
        <v>94.44</v>
      </c>
      <c r="T13" s="808"/>
      <c r="U13" s="806">
        <v>94.44</v>
      </c>
    </row>
    <row r="14" spans="1:21">
      <c r="A14" s="799" t="s">
        <v>2191</v>
      </c>
      <c r="B14" s="809"/>
      <c r="C14" s="809"/>
      <c r="D14" s="809"/>
      <c r="E14" s="809"/>
      <c r="F14" s="806"/>
      <c r="G14" s="806"/>
      <c r="H14" s="809"/>
      <c r="I14" s="809"/>
      <c r="J14" s="809"/>
      <c r="K14" s="809"/>
      <c r="L14" s="816"/>
      <c r="M14" s="816"/>
      <c r="N14" s="806"/>
      <c r="O14" s="806"/>
      <c r="P14" s="806"/>
      <c r="Q14" s="808"/>
      <c r="R14" s="806">
        <v>0</v>
      </c>
      <c r="S14" s="806">
        <v>0</v>
      </c>
      <c r="T14" s="808"/>
      <c r="U14" s="806">
        <v>0</v>
      </c>
    </row>
    <row r="15" spans="1:21">
      <c r="A15" s="799" t="s">
        <v>604</v>
      </c>
      <c r="B15" s="809"/>
      <c r="C15" s="809"/>
      <c r="D15" s="809"/>
      <c r="E15" s="811">
        <v>2.7800000000000002E-2</v>
      </c>
      <c r="F15" s="806"/>
      <c r="G15" s="806"/>
      <c r="H15" s="809"/>
      <c r="I15" s="809"/>
      <c r="J15" s="809"/>
      <c r="K15" s="809"/>
      <c r="L15" s="816"/>
      <c r="M15" s="816"/>
      <c r="N15" s="806"/>
      <c r="O15" s="814">
        <v>41.76</v>
      </c>
      <c r="P15" s="806"/>
      <c r="Q15" s="808"/>
      <c r="R15" s="806">
        <v>0</v>
      </c>
      <c r="S15" s="806">
        <v>41.787799999999997</v>
      </c>
      <c r="T15" s="808"/>
      <c r="U15" s="806">
        <v>41.787799999999997</v>
      </c>
    </row>
    <row r="16" spans="1:21">
      <c r="A16" s="800" t="s">
        <v>2192</v>
      </c>
      <c r="B16" s="813">
        <v>1088.6399999999999</v>
      </c>
      <c r="C16" s="813">
        <v>3802.0749999999998</v>
      </c>
      <c r="D16" s="813">
        <v>13.239999999999998</v>
      </c>
      <c r="E16" s="813">
        <v>7.2778</v>
      </c>
      <c r="F16" s="807">
        <v>0</v>
      </c>
      <c r="G16" s="807">
        <v>0</v>
      </c>
      <c r="H16" s="813">
        <v>0</v>
      </c>
      <c r="I16" s="813">
        <v>2</v>
      </c>
      <c r="J16" s="813">
        <v>55.5</v>
      </c>
      <c r="K16" s="813">
        <v>5140.3929999999982</v>
      </c>
      <c r="L16" s="813">
        <v>0</v>
      </c>
      <c r="M16" s="813">
        <v>10.4</v>
      </c>
      <c r="N16" s="807">
        <v>788.96</v>
      </c>
      <c r="O16" s="807">
        <v>164.375</v>
      </c>
      <c r="P16" s="807"/>
      <c r="Q16" s="808"/>
      <c r="R16" s="806">
        <v>1946.34</v>
      </c>
      <c r="S16" s="806">
        <v>9126.5207999999966</v>
      </c>
      <c r="T16" s="808"/>
      <c r="U16" s="806">
        <v>11072.860799999997</v>
      </c>
    </row>
    <row r="17" spans="1:21">
      <c r="A17" s="799"/>
      <c r="B17" s="809"/>
      <c r="C17" s="809"/>
      <c r="D17" s="809"/>
      <c r="E17" s="809"/>
      <c r="F17" s="806"/>
      <c r="G17" s="806"/>
      <c r="H17" s="809"/>
      <c r="I17" s="809"/>
      <c r="J17" s="809"/>
      <c r="K17" s="809"/>
      <c r="L17" s="816"/>
      <c r="M17" s="816"/>
      <c r="N17" s="806"/>
      <c r="O17" s="806"/>
      <c r="P17" s="806"/>
      <c r="Q17" s="808"/>
      <c r="R17" s="806"/>
      <c r="S17" s="806"/>
      <c r="T17" s="808"/>
      <c r="U17" s="806"/>
    </row>
    <row r="18" spans="1:21">
      <c r="A18" s="800" t="s">
        <v>2193</v>
      </c>
      <c r="B18" s="809"/>
      <c r="C18" s="809"/>
      <c r="D18" s="809"/>
      <c r="E18" s="809"/>
      <c r="F18" s="806"/>
      <c r="G18" s="806"/>
      <c r="H18" s="809"/>
      <c r="I18" s="809"/>
      <c r="J18" s="809"/>
      <c r="K18" s="809"/>
      <c r="L18" s="816"/>
      <c r="M18" s="816"/>
      <c r="N18" s="806"/>
      <c r="O18" s="806"/>
      <c r="P18" s="806"/>
      <c r="Q18" s="808"/>
      <c r="R18" s="806"/>
      <c r="S18" s="806"/>
      <c r="T18" s="808"/>
      <c r="U18" s="806"/>
    </row>
    <row r="19" spans="1:21">
      <c r="A19" s="799" t="s">
        <v>2194</v>
      </c>
      <c r="B19" s="809">
        <v>1.08</v>
      </c>
      <c r="C19" s="809"/>
      <c r="D19" s="809">
        <v>9.48</v>
      </c>
      <c r="E19" s="809"/>
      <c r="F19" s="806"/>
      <c r="G19" s="806"/>
      <c r="H19" s="809"/>
      <c r="I19" s="809"/>
      <c r="J19" s="809"/>
      <c r="K19" s="809">
        <v>0.44</v>
      </c>
      <c r="L19" s="816">
        <v>7.22</v>
      </c>
      <c r="M19" s="816">
        <v>28.87</v>
      </c>
      <c r="N19" s="814">
        <v>0.28000000000000003</v>
      </c>
      <c r="O19" s="806"/>
      <c r="P19" s="815"/>
      <c r="Q19" s="808"/>
      <c r="R19" s="806">
        <v>18.060000000000002</v>
      </c>
      <c r="S19" s="806">
        <v>29.310000000000002</v>
      </c>
      <c r="T19" s="808"/>
      <c r="U19" s="806">
        <v>47.370000000000005</v>
      </c>
    </row>
    <row r="20" spans="1:21">
      <c r="A20" s="799" t="s">
        <v>2195</v>
      </c>
      <c r="B20" s="809"/>
      <c r="C20" s="809"/>
      <c r="D20" s="809"/>
      <c r="E20" s="809">
        <v>9.48</v>
      </c>
      <c r="F20" s="806"/>
      <c r="G20" s="806"/>
      <c r="H20" s="809"/>
      <c r="I20" s="809"/>
      <c r="J20" s="809"/>
      <c r="K20" s="809">
        <v>18.071000000000002</v>
      </c>
      <c r="L20" s="816"/>
      <c r="M20" s="816">
        <v>117.56219999999999</v>
      </c>
      <c r="N20" s="806"/>
      <c r="O20" s="806"/>
      <c r="P20" s="806"/>
      <c r="Q20" s="808"/>
      <c r="R20" s="806">
        <v>0</v>
      </c>
      <c r="S20" s="806">
        <v>145.11320000000001</v>
      </c>
      <c r="T20" s="808"/>
      <c r="U20" s="806">
        <v>145.11320000000001</v>
      </c>
    </row>
    <row r="21" spans="1:21">
      <c r="A21" s="799" t="s">
        <v>2196</v>
      </c>
      <c r="B21" s="809"/>
      <c r="C21" s="809"/>
      <c r="D21" s="809"/>
      <c r="E21" s="809">
        <v>1.3740000000000001</v>
      </c>
      <c r="F21" s="806"/>
      <c r="G21" s="806"/>
      <c r="H21" s="809"/>
      <c r="I21" s="809"/>
      <c r="J21" s="809"/>
      <c r="K21" s="809">
        <v>1.7999999999999999E-2</v>
      </c>
      <c r="L21" s="816"/>
      <c r="M21" s="816"/>
      <c r="N21" s="806"/>
      <c r="O21" s="806"/>
      <c r="P21" s="806"/>
      <c r="Q21" s="808"/>
      <c r="R21" s="806">
        <v>0</v>
      </c>
      <c r="S21" s="806">
        <v>1.3920000000000001</v>
      </c>
      <c r="T21" s="808"/>
      <c r="U21" s="806">
        <v>1.3920000000000001</v>
      </c>
    </row>
    <row r="22" spans="1:21">
      <c r="A22" s="799" t="s">
        <v>2197</v>
      </c>
      <c r="B22" s="809"/>
      <c r="C22" s="809"/>
      <c r="D22" s="809"/>
      <c r="E22" s="809">
        <v>0.1</v>
      </c>
      <c r="F22" s="806"/>
      <c r="G22" s="806"/>
      <c r="H22" s="809"/>
      <c r="I22" s="809"/>
      <c r="J22" s="809"/>
      <c r="K22" s="809"/>
      <c r="L22" s="816"/>
      <c r="M22" s="816">
        <v>11.717749999999999</v>
      </c>
      <c r="N22" s="806"/>
      <c r="O22" s="806"/>
      <c r="P22" s="806"/>
      <c r="Q22" s="808"/>
      <c r="R22" s="806">
        <v>0</v>
      </c>
      <c r="S22" s="806">
        <v>11.817749999999998</v>
      </c>
      <c r="T22" s="808"/>
      <c r="U22" s="806">
        <v>11.817749999999998</v>
      </c>
    </row>
    <row r="23" spans="1:21">
      <c r="A23" s="799" t="s">
        <v>2198</v>
      </c>
      <c r="B23" s="809"/>
      <c r="C23" s="809"/>
      <c r="D23" s="809"/>
      <c r="E23" s="809">
        <v>0</v>
      </c>
      <c r="F23" s="806"/>
      <c r="G23" s="806"/>
      <c r="H23" s="809"/>
      <c r="I23" s="809"/>
      <c r="J23" s="809"/>
      <c r="K23" s="809"/>
      <c r="L23" s="816"/>
      <c r="M23" s="816">
        <v>13.84</v>
      </c>
      <c r="N23" s="806"/>
      <c r="O23" s="806"/>
      <c r="P23" s="806"/>
      <c r="Q23" s="808"/>
      <c r="R23" s="806">
        <v>0</v>
      </c>
      <c r="S23" s="806">
        <v>13.84</v>
      </c>
      <c r="T23" s="808"/>
      <c r="U23" s="806">
        <v>13.84</v>
      </c>
    </row>
    <row r="24" spans="1:21">
      <c r="A24" s="799" t="s">
        <v>2199</v>
      </c>
      <c r="B24" s="809"/>
      <c r="C24" s="809"/>
      <c r="D24" s="809"/>
      <c r="E24" s="809">
        <v>0.1</v>
      </c>
      <c r="F24" s="806"/>
      <c r="G24" s="806"/>
      <c r="H24" s="809"/>
      <c r="I24" s="809"/>
      <c r="J24" s="809"/>
      <c r="K24" s="809">
        <v>53.8</v>
      </c>
      <c r="L24" s="816"/>
      <c r="M24" s="816"/>
      <c r="N24" s="806"/>
      <c r="O24" s="806"/>
      <c r="P24" s="806"/>
      <c r="Q24" s="808"/>
      <c r="R24" s="806">
        <v>0</v>
      </c>
      <c r="S24" s="806">
        <v>53.9</v>
      </c>
      <c r="T24" s="808"/>
      <c r="U24" s="806">
        <v>53.9</v>
      </c>
    </row>
    <row r="25" spans="1:21">
      <c r="A25" s="799" t="s">
        <v>2200</v>
      </c>
      <c r="B25" s="809"/>
      <c r="C25" s="809"/>
      <c r="D25" s="809"/>
      <c r="E25" s="809">
        <v>0</v>
      </c>
      <c r="F25" s="806"/>
      <c r="G25" s="806"/>
      <c r="H25" s="809"/>
      <c r="I25" s="809"/>
      <c r="J25" s="809"/>
      <c r="K25" s="809"/>
      <c r="L25" s="816"/>
      <c r="M25" s="819">
        <v>8</v>
      </c>
      <c r="N25" s="806"/>
      <c r="O25" s="806"/>
      <c r="P25" s="806"/>
      <c r="Q25" s="808"/>
      <c r="R25" s="806">
        <v>0</v>
      </c>
      <c r="S25" s="806">
        <v>8</v>
      </c>
      <c r="T25" s="808"/>
      <c r="U25" s="806">
        <v>8</v>
      </c>
    </row>
    <row r="26" spans="1:21">
      <c r="A26" s="799" t="s">
        <v>2201</v>
      </c>
      <c r="B26" s="809"/>
      <c r="C26" s="809"/>
      <c r="D26" s="809"/>
      <c r="E26" s="809"/>
      <c r="F26" s="806"/>
      <c r="G26" s="806"/>
      <c r="H26" s="809"/>
      <c r="I26" s="809"/>
      <c r="J26" s="809"/>
      <c r="K26" s="809">
        <v>0.15</v>
      </c>
      <c r="L26" s="816"/>
      <c r="M26" s="816">
        <v>57.533600000000007</v>
      </c>
      <c r="N26" s="806"/>
      <c r="O26" s="806"/>
      <c r="P26" s="806"/>
      <c r="Q26" s="808"/>
      <c r="R26" s="806">
        <v>0</v>
      </c>
      <c r="S26" s="806">
        <v>57.683600000000006</v>
      </c>
      <c r="T26" s="808"/>
      <c r="U26" s="806">
        <v>57.683600000000006</v>
      </c>
    </row>
    <row r="27" spans="1:21">
      <c r="A27" s="799" t="s">
        <v>2202</v>
      </c>
      <c r="B27" s="809"/>
      <c r="C27" s="809"/>
      <c r="D27" s="809"/>
      <c r="E27" s="809">
        <v>0</v>
      </c>
      <c r="F27" s="806"/>
      <c r="G27" s="806"/>
      <c r="H27" s="809"/>
      <c r="I27" s="809"/>
      <c r="J27" s="809"/>
      <c r="K27" s="809"/>
      <c r="L27" s="816"/>
      <c r="M27" s="816"/>
      <c r="N27" s="806"/>
      <c r="O27" s="806"/>
      <c r="P27" s="806"/>
      <c r="Q27" s="808"/>
      <c r="R27" s="806">
        <v>0</v>
      </c>
      <c r="S27" s="806">
        <v>0</v>
      </c>
      <c r="T27" s="808"/>
      <c r="U27" s="806">
        <v>0</v>
      </c>
    </row>
    <row r="28" spans="1:21">
      <c r="A28" s="799" t="s">
        <v>2203</v>
      </c>
      <c r="B28" s="809">
        <v>1.9119999999999999</v>
      </c>
      <c r="C28" s="809"/>
      <c r="D28" s="809"/>
      <c r="E28" s="809">
        <v>7.0400000000000004E-2</v>
      </c>
      <c r="F28" s="806"/>
      <c r="G28" s="806"/>
      <c r="H28" s="809"/>
      <c r="I28" s="809">
        <v>2.5000000000000001E-2</v>
      </c>
      <c r="J28" s="809"/>
      <c r="K28" s="809"/>
      <c r="L28" s="816"/>
      <c r="M28" s="816"/>
      <c r="N28" s="806"/>
      <c r="O28" s="806"/>
      <c r="P28" s="806"/>
      <c r="Q28" s="808"/>
      <c r="R28" s="806">
        <v>1.9119999999999999</v>
      </c>
      <c r="S28" s="806">
        <v>9.5400000000000013E-2</v>
      </c>
      <c r="T28" s="808"/>
      <c r="U28" s="806">
        <v>2.0074000000000001</v>
      </c>
    </row>
    <row r="29" spans="1:21">
      <c r="A29" s="799" t="s">
        <v>2204</v>
      </c>
      <c r="B29" s="809">
        <v>53.311</v>
      </c>
      <c r="C29" s="809"/>
      <c r="D29" s="809">
        <v>0.450075</v>
      </c>
      <c r="E29" s="809">
        <v>0.45400000000000001</v>
      </c>
      <c r="F29" s="806"/>
      <c r="G29" s="806"/>
      <c r="H29" s="809"/>
      <c r="I29" s="809"/>
      <c r="J29" s="809"/>
      <c r="K29" s="809">
        <v>7.9</v>
      </c>
      <c r="L29" s="816"/>
      <c r="M29" s="816"/>
      <c r="N29" s="806"/>
      <c r="O29" s="806"/>
      <c r="P29" s="806"/>
      <c r="Q29" s="808"/>
      <c r="R29" s="806">
        <v>53.761074999999998</v>
      </c>
      <c r="S29" s="806">
        <v>8.354000000000001</v>
      </c>
      <c r="T29" s="808"/>
      <c r="U29" s="806">
        <v>62.115074999999997</v>
      </c>
    </row>
    <row r="30" spans="1:21">
      <c r="A30" s="799" t="s">
        <v>2205</v>
      </c>
      <c r="B30" s="809"/>
      <c r="C30" s="809"/>
      <c r="D30" s="809"/>
      <c r="E30" s="809"/>
      <c r="F30" s="806"/>
      <c r="G30" s="806"/>
      <c r="H30" s="809"/>
      <c r="I30" s="809"/>
      <c r="J30" s="809"/>
      <c r="K30" s="809"/>
      <c r="L30" s="816"/>
      <c r="M30" s="816"/>
      <c r="N30" s="806"/>
      <c r="O30" s="806"/>
      <c r="P30" s="806"/>
      <c r="Q30" s="808"/>
      <c r="R30" s="806">
        <v>0</v>
      </c>
      <c r="S30" s="806">
        <v>0</v>
      </c>
      <c r="T30" s="808"/>
      <c r="U30" s="806">
        <v>0</v>
      </c>
    </row>
    <row r="31" spans="1:21">
      <c r="A31" s="799" t="s">
        <v>2206</v>
      </c>
      <c r="B31" s="809"/>
      <c r="C31" s="809"/>
      <c r="D31" s="809"/>
      <c r="E31" s="809"/>
      <c r="F31" s="806"/>
      <c r="G31" s="806"/>
      <c r="H31" s="809"/>
      <c r="I31" s="809">
        <v>250.75</v>
      </c>
      <c r="J31" s="809"/>
      <c r="K31" s="809"/>
      <c r="L31" s="816"/>
      <c r="M31" s="816"/>
      <c r="N31" s="806"/>
      <c r="O31" s="814">
        <v>40.443416999999997</v>
      </c>
      <c r="P31" s="806"/>
      <c r="Q31" s="808"/>
      <c r="R31" s="806">
        <v>0</v>
      </c>
      <c r="S31" s="806">
        <v>291.19341700000001</v>
      </c>
      <c r="T31" s="808"/>
      <c r="U31" s="806">
        <v>291.19341700000001</v>
      </c>
    </row>
    <row r="32" spans="1:21">
      <c r="A32" s="799" t="s">
        <v>604</v>
      </c>
      <c r="B32" s="809"/>
      <c r="C32" s="809"/>
      <c r="D32" s="809"/>
      <c r="E32" s="809">
        <v>0.06</v>
      </c>
      <c r="F32" s="806"/>
      <c r="G32" s="806"/>
      <c r="H32" s="809"/>
      <c r="I32" s="820">
        <v>2</v>
      </c>
      <c r="J32" s="809"/>
      <c r="K32" s="809">
        <v>3.5</v>
      </c>
      <c r="L32" s="816"/>
      <c r="M32" s="816"/>
      <c r="N32" s="806"/>
      <c r="O32" s="806"/>
      <c r="P32" s="806"/>
      <c r="Q32" s="808"/>
      <c r="R32" s="806">
        <v>0</v>
      </c>
      <c r="S32" s="806">
        <v>5.5600000000000005</v>
      </c>
      <c r="T32" s="808"/>
      <c r="U32" s="806">
        <v>5.5600000000000005</v>
      </c>
    </row>
    <row r="33" spans="1:21">
      <c r="A33" s="800" t="s">
        <v>2207</v>
      </c>
      <c r="B33" s="813">
        <v>56.302999999999997</v>
      </c>
      <c r="C33" s="813">
        <v>0</v>
      </c>
      <c r="D33" s="813">
        <v>9.9300750000000004</v>
      </c>
      <c r="E33" s="813">
        <v>11.638400000000001</v>
      </c>
      <c r="F33" s="807">
        <v>0</v>
      </c>
      <c r="G33" s="807">
        <v>0</v>
      </c>
      <c r="H33" s="813">
        <v>0</v>
      </c>
      <c r="I33" s="813">
        <v>252.77500000000001</v>
      </c>
      <c r="J33" s="813">
        <v>0</v>
      </c>
      <c r="K33" s="813">
        <v>83.879000000000019</v>
      </c>
      <c r="L33" s="813">
        <v>7.22</v>
      </c>
      <c r="M33" s="813">
        <v>237.52355</v>
      </c>
      <c r="N33" s="807">
        <v>0.28000000000000003</v>
      </c>
      <c r="O33" s="807">
        <v>40.443416999999997</v>
      </c>
      <c r="P33" s="807"/>
      <c r="Q33" s="808"/>
      <c r="R33" s="806">
        <v>73.733074999999999</v>
      </c>
      <c r="S33" s="806">
        <v>626.259367</v>
      </c>
      <c r="T33" s="808"/>
      <c r="U33" s="806">
        <v>699.99244199999998</v>
      </c>
    </row>
    <row r="34" spans="1:21">
      <c r="A34" s="800" t="s">
        <v>2208</v>
      </c>
      <c r="B34" s="813"/>
      <c r="C34" s="813"/>
      <c r="D34" s="813"/>
      <c r="E34" s="813">
        <v>0.44</v>
      </c>
      <c r="F34" s="807">
        <v>0</v>
      </c>
      <c r="G34" s="807">
        <v>0</v>
      </c>
      <c r="H34" s="813">
        <v>0</v>
      </c>
      <c r="I34" s="821">
        <v>1</v>
      </c>
      <c r="J34" s="813">
        <v>0</v>
      </c>
      <c r="K34" s="813">
        <v>96.44</v>
      </c>
      <c r="L34" s="813">
        <v>0</v>
      </c>
      <c r="M34" s="813"/>
      <c r="N34" s="807">
        <v>0</v>
      </c>
      <c r="O34" s="807">
        <v>8.8140000000000001</v>
      </c>
      <c r="P34" s="807"/>
      <c r="Q34" s="808"/>
      <c r="R34" s="806">
        <v>0</v>
      </c>
      <c r="S34" s="806">
        <v>106.69399999999999</v>
      </c>
      <c r="T34" s="808"/>
      <c r="U34" s="806">
        <v>106.69399999999999</v>
      </c>
    </row>
    <row r="35" spans="1:21">
      <c r="A35" s="800"/>
      <c r="B35" s="809"/>
      <c r="C35" s="809"/>
      <c r="D35" s="809"/>
      <c r="E35" s="809"/>
      <c r="F35" s="806"/>
      <c r="G35" s="806"/>
      <c r="H35" s="809"/>
      <c r="I35" s="809"/>
      <c r="J35" s="809"/>
      <c r="K35" s="813"/>
      <c r="L35" s="816"/>
      <c r="M35" s="816"/>
      <c r="N35" s="806"/>
      <c r="O35" s="806"/>
      <c r="P35" s="806"/>
      <c r="Q35" s="808"/>
      <c r="R35" s="806"/>
      <c r="S35" s="806"/>
      <c r="T35" s="808"/>
      <c r="U35" s="806"/>
    </row>
    <row r="36" spans="1:21">
      <c r="A36" s="800" t="s">
        <v>2209</v>
      </c>
      <c r="B36" s="809"/>
      <c r="C36" s="809"/>
      <c r="D36" s="809"/>
      <c r="E36" s="809"/>
      <c r="F36" s="806"/>
      <c r="G36" s="806"/>
      <c r="H36" s="809"/>
      <c r="I36" s="809"/>
      <c r="J36" s="809"/>
      <c r="K36" s="809"/>
      <c r="L36" s="816"/>
      <c r="M36" s="816"/>
      <c r="N36" s="806"/>
      <c r="O36" s="806"/>
      <c r="P36" s="806"/>
      <c r="Q36" s="808"/>
      <c r="R36" s="806"/>
      <c r="S36" s="806"/>
      <c r="T36" s="808"/>
      <c r="U36" s="806"/>
    </row>
    <row r="37" spans="1:21">
      <c r="A37" s="799" t="s">
        <v>2210</v>
      </c>
      <c r="B37" s="809"/>
      <c r="C37" s="809"/>
      <c r="D37" s="809"/>
      <c r="E37" s="809">
        <v>33.44</v>
      </c>
      <c r="F37" s="806"/>
      <c r="G37" s="806"/>
      <c r="H37" s="809"/>
      <c r="I37" s="809"/>
      <c r="J37" s="809"/>
      <c r="K37" s="809"/>
      <c r="L37" s="816"/>
      <c r="M37" s="816"/>
      <c r="N37" s="806"/>
      <c r="O37" s="806"/>
      <c r="P37" s="806"/>
      <c r="Q37" s="808"/>
      <c r="R37" s="806">
        <v>0</v>
      </c>
      <c r="S37" s="806">
        <v>33.44</v>
      </c>
      <c r="T37" s="808"/>
      <c r="U37" s="806">
        <v>33.44</v>
      </c>
    </row>
    <row r="38" spans="1:21">
      <c r="A38" s="799" t="s">
        <v>2211</v>
      </c>
      <c r="B38" s="809"/>
      <c r="C38" s="809"/>
      <c r="D38" s="809"/>
      <c r="E38" s="816">
        <v>31.503</v>
      </c>
      <c r="F38" s="806"/>
      <c r="G38" s="806"/>
      <c r="H38" s="809"/>
      <c r="I38" s="809"/>
      <c r="J38" s="809"/>
      <c r="K38" s="809"/>
      <c r="L38" s="816"/>
      <c r="M38" s="816"/>
      <c r="N38" s="806"/>
      <c r="O38" s="806"/>
      <c r="P38" s="806"/>
      <c r="Q38" s="808"/>
      <c r="R38" s="806">
        <v>0</v>
      </c>
      <c r="S38" s="806">
        <v>31.503</v>
      </c>
      <c r="T38" s="808"/>
      <c r="U38" s="806">
        <v>31.503</v>
      </c>
    </row>
    <row r="39" spans="1:21">
      <c r="A39" s="799" t="s">
        <v>2212</v>
      </c>
      <c r="B39" s="809"/>
      <c r="C39" s="809"/>
      <c r="D39" s="809"/>
      <c r="E39" s="809">
        <v>7.44</v>
      </c>
      <c r="F39" s="806"/>
      <c r="G39" s="806"/>
      <c r="H39" s="809"/>
      <c r="I39" s="809"/>
      <c r="J39" s="809"/>
      <c r="K39" s="809"/>
      <c r="L39" s="816"/>
      <c r="M39" s="816"/>
      <c r="N39" s="806"/>
      <c r="O39" s="806"/>
      <c r="P39" s="806"/>
      <c r="Q39" s="808"/>
      <c r="R39" s="806">
        <v>0</v>
      </c>
      <c r="S39" s="806">
        <v>7.44</v>
      </c>
      <c r="T39" s="808"/>
      <c r="U39" s="806">
        <v>7.44</v>
      </c>
    </row>
    <row r="40" spans="1:21">
      <c r="A40" s="799" t="s">
        <v>2213</v>
      </c>
      <c r="B40" s="809"/>
      <c r="C40" s="809"/>
      <c r="D40" s="809"/>
      <c r="E40" s="809"/>
      <c r="F40" s="806"/>
      <c r="G40" s="806"/>
      <c r="H40" s="809"/>
      <c r="I40" s="809"/>
      <c r="J40" s="809"/>
      <c r="K40" s="809"/>
      <c r="L40" s="816"/>
      <c r="M40" s="816"/>
      <c r="N40" s="806"/>
      <c r="O40" s="806"/>
      <c r="P40" s="806"/>
      <c r="Q40" s="808"/>
      <c r="R40" s="806">
        <v>0</v>
      </c>
      <c r="S40" s="806">
        <v>0</v>
      </c>
      <c r="T40" s="808"/>
      <c r="U40" s="806">
        <v>0</v>
      </c>
    </row>
    <row r="41" spans="1:21">
      <c r="A41" s="799" t="s">
        <v>2214</v>
      </c>
      <c r="B41" s="809"/>
      <c r="C41" s="809"/>
      <c r="D41" s="809"/>
      <c r="E41" s="809"/>
      <c r="F41" s="806"/>
      <c r="G41" s="806"/>
      <c r="H41" s="809"/>
      <c r="I41" s="809"/>
      <c r="J41" s="809"/>
      <c r="K41" s="809"/>
      <c r="L41" s="816"/>
      <c r="M41" s="816"/>
      <c r="N41" s="806"/>
      <c r="O41" s="806"/>
      <c r="P41" s="806"/>
      <c r="Q41" s="808"/>
      <c r="R41" s="806">
        <v>0</v>
      </c>
      <c r="S41" s="806">
        <v>0</v>
      </c>
      <c r="T41" s="808"/>
      <c r="U41" s="806">
        <v>0</v>
      </c>
    </row>
    <row r="42" spans="1:21">
      <c r="A42" s="799" t="s">
        <v>604</v>
      </c>
      <c r="B42" s="809"/>
      <c r="C42" s="809"/>
      <c r="D42" s="809"/>
      <c r="E42" s="816">
        <v>450</v>
      </c>
      <c r="F42" s="806"/>
      <c r="G42" s="806"/>
      <c r="H42" s="809"/>
      <c r="I42" s="809"/>
      <c r="J42" s="809"/>
      <c r="K42" s="809">
        <v>222.63</v>
      </c>
      <c r="L42" s="816"/>
      <c r="M42" s="816"/>
      <c r="N42" s="806"/>
      <c r="O42" s="806"/>
      <c r="P42" s="806"/>
      <c r="Q42" s="808"/>
      <c r="R42" s="806">
        <v>0</v>
      </c>
      <c r="S42" s="806">
        <v>222.63</v>
      </c>
      <c r="T42" s="808"/>
      <c r="U42" s="806">
        <v>222.63</v>
      </c>
    </row>
    <row r="43" spans="1:21">
      <c r="A43" s="800" t="s">
        <v>2215</v>
      </c>
      <c r="B43" s="813">
        <v>0</v>
      </c>
      <c r="C43" s="813">
        <v>0</v>
      </c>
      <c r="D43" s="813">
        <v>0</v>
      </c>
      <c r="E43" s="813">
        <v>72.383000000000038</v>
      </c>
      <c r="F43" s="807">
        <v>0</v>
      </c>
      <c r="G43" s="807">
        <v>0</v>
      </c>
      <c r="H43" s="813">
        <v>0</v>
      </c>
      <c r="I43" s="813">
        <v>0</v>
      </c>
      <c r="J43" s="813">
        <v>0</v>
      </c>
      <c r="K43" s="813">
        <v>222.63</v>
      </c>
      <c r="L43" s="813">
        <v>0</v>
      </c>
      <c r="M43" s="813">
        <v>0</v>
      </c>
      <c r="N43" s="807">
        <v>0</v>
      </c>
      <c r="O43" s="807">
        <v>0</v>
      </c>
      <c r="P43" s="807"/>
      <c r="Q43" s="808"/>
      <c r="R43" s="806">
        <v>0</v>
      </c>
      <c r="S43" s="806">
        <v>295.01300000000003</v>
      </c>
      <c r="T43" s="808"/>
      <c r="U43" s="806">
        <v>295.01300000000003</v>
      </c>
    </row>
    <row r="44" spans="1:21">
      <c r="A44" s="800" t="s">
        <v>2216</v>
      </c>
      <c r="B44" s="813">
        <v>0</v>
      </c>
      <c r="C44" s="813">
        <v>0</v>
      </c>
      <c r="D44" s="813">
        <v>0</v>
      </c>
      <c r="E44" s="813">
        <v>1581.94</v>
      </c>
      <c r="F44" s="807">
        <v>0</v>
      </c>
      <c r="G44" s="807">
        <v>0</v>
      </c>
      <c r="H44" s="813">
        <v>0</v>
      </c>
      <c r="I44" s="813">
        <v>0</v>
      </c>
      <c r="J44" s="813">
        <v>0</v>
      </c>
      <c r="K44" s="813">
        <v>0</v>
      </c>
      <c r="L44" s="813">
        <v>0</v>
      </c>
      <c r="M44" s="813">
        <v>0</v>
      </c>
      <c r="N44" s="807">
        <v>0</v>
      </c>
      <c r="O44" s="807">
        <v>0</v>
      </c>
      <c r="P44" s="807"/>
      <c r="Q44" s="808"/>
      <c r="R44" s="806">
        <v>0</v>
      </c>
      <c r="S44" s="806">
        <v>1581.94</v>
      </c>
      <c r="T44" s="808"/>
      <c r="U44" s="806">
        <v>1581.94</v>
      </c>
    </row>
    <row r="45" spans="1:21">
      <c r="A45" s="799"/>
      <c r="B45" s="809"/>
      <c r="C45" s="809"/>
      <c r="D45" s="809"/>
      <c r="E45" s="809"/>
      <c r="F45" s="806"/>
      <c r="G45" s="806"/>
      <c r="H45" s="809"/>
      <c r="I45" s="809"/>
      <c r="J45" s="809"/>
      <c r="K45" s="809"/>
      <c r="L45" s="816"/>
      <c r="M45" s="816"/>
      <c r="N45" s="806"/>
      <c r="O45" s="806"/>
      <c r="P45" s="806"/>
      <c r="Q45" s="808"/>
      <c r="R45" s="806"/>
      <c r="S45" s="806"/>
      <c r="T45" s="808"/>
      <c r="U45" s="806"/>
    </row>
    <row r="46" spans="1:21">
      <c r="A46" s="800" t="s">
        <v>2217</v>
      </c>
      <c r="B46" s="813">
        <v>1144.9429999999998</v>
      </c>
      <c r="C46" s="813">
        <v>3802.0749999999998</v>
      </c>
      <c r="D46" s="813">
        <v>23.170074999999997</v>
      </c>
      <c r="E46" s="813">
        <v>91.299200000000042</v>
      </c>
      <c r="F46" s="807">
        <v>0</v>
      </c>
      <c r="G46" s="807">
        <v>0</v>
      </c>
      <c r="H46" s="813">
        <v>0</v>
      </c>
      <c r="I46" s="813">
        <v>254.77500000000001</v>
      </c>
      <c r="J46" s="813">
        <v>55.5</v>
      </c>
      <c r="K46" s="813">
        <v>5446.9019999999982</v>
      </c>
      <c r="L46" s="813">
        <v>7.22</v>
      </c>
      <c r="M46" s="813"/>
      <c r="N46" s="807">
        <v>789.24</v>
      </c>
      <c r="O46" s="807">
        <v>204.81841700000001</v>
      </c>
      <c r="P46" s="807"/>
      <c r="Q46" s="808"/>
      <c r="R46" s="812">
        <v>2020.0730749999998</v>
      </c>
      <c r="S46" s="806">
        <v>9799.8696169999985</v>
      </c>
      <c r="T46" s="808"/>
      <c r="U46" s="806">
        <v>11819.942691999999</v>
      </c>
    </row>
    <row r="47" spans="1:21">
      <c r="A47" s="800" t="s">
        <v>2218</v>
      </c>
      <c r="B47" s="813">
        <v>0</v>
      </c>
      <c r="C47" s="813">
        <v>0</v>
      </c>
      <c r="D47" s="813">
        <v>0</v>
      </c>
      <c r="E47" s="813">
        <v>1582.38</v>
      </c>
      <c r="F47" s="807">
        <v>0</v>
      </c>
      <c r="G47" s="807">
        <v>0</v>
      </c>
      <c r="H47" s="813">
        <v>0</v>
      </c>
      <c r="I47" s="813">
        <v>1</v>
      </c>
      <c r="J47" s="813">
        <v>0</v>
      </c>
      <c r="K47" s="813">
        <v>0</v>
      </c>
      <c r="L47" s="813">
        <v>0</v>
      </c>
      <c r="M47" s="813"/>
      <c r="N47" s="807">
        <v>0</v>
      </c>
      <c r="O47" s="807">
        <v>8.8140000000000001</v>
      </c>
      <c r="P47" s="807"/>
      <c r="Q47" s="808"/>
      <c r="R47" s="812">
        <v>0</v>
      </c>
      <c r="S47" s="806">
        <v>1592.1940000000002</v>
      </c>
      <c r="T47" s="808"/>
      <c r="U47" s="806">
        <v>1592.1940000000002</v>
      </c>
    </row>
    <row r="48" spans="1:21">
      <c r="A48" s="799"/>
      <c r="B48" s="809"/>
      <c r="C48" s="809"/>
      <c r="D48" s="809"/>
      <c r="E48" s="809"/>
      <c r="F48" s="806"/>
      <c r="G48" s="806"/>
      <c r="H48" s="809"/>
      <c r="I48" s="809"/>
      <c r="J48" s="809"/>
      <c r="K48" s="809"/>
      <c r="L48" s="816"/>
      <c r="M48" s="816"/>
      <c r="N48" s="806"/>
      <c r="O48" s="806"/>
      <c r="P48" s="806"/>
      <c r="Q48" s="808"/>
      <c r="R48" s="806"/>
      <c r="S48" s="806"/>
      <c r="T48" s="808"/>
      <c r="U48" s="806"/>
    </row>
    <row r="49" spans="1:21">
      <c r="A49" s="800" t="s">
        <v>2219</v>
      </c>
      <c r="B49" s="809"/>
      <c r="C49" s="809"/>
      <c r="D49" s="809"/>
      <c r="E49" s="809"/>
      <c r="F49" s="806"/>
      <c r="G49" s="806"/>
      <c r="H49" s="809"/>
      <c r="I49" s="809"/>
      <c r="J49" s="809"/>
      <c r="K49" s="809"/>
      <c r="L49" s="816"/>
      <c r="M49" s="816"/>
      <c r="N49" s="806"/>
      <c r="O49" s="806"/>
      <c r="P49" s="806"/>
      <c r="Q49" s="808"/>
      <c r="R49" s="806"/>
      <c r="S49" s="806"/>
      <c r="T49" s="808"/>
      <c r="U49" s="806"/>
    </row>
    <row r="50" spans="1:21">
      <c r="A50" s="799" t="s">
        <v>2220</v>
      </c>
      <c r="B50" s="813">
        <v>4449.4599999999991</v>
      </c>
      <c r="C50" s="809"/>
      <c r="D50" s="809"/>
      <c r="E50" s="809"/>
      <c r="F50" s="806"/>
      <c r="G50" s="806"/>
      <c r="H50" s="809"/>
      <c r="I50" s="809"/>
      <c r="J50" s="809"/>
      <c r="K50" s="809"/>
      <c r="L50" s="816"/>
      <c r="M50" s="816"/>
      <c r="N50" s="806"/>
      <c r="O50" s="806"/>
      <c r="P50" s="806"/>
      <c r="Q50" s="808"/>
      <c r="R50" s="806">
        <f>SUM(B50:P50)</f>
        <v>4449.4599999999991</v>
      </c>
      <c r="S50" s="806"/>
      <c r="T50" s="808"/>
      <c r="U50" s="806">
        <v>0</v>
      </c>
    </row>
    <row r="51" spans="1:21">
      <c r="A51" s="799" t="s">
        <v>2221</v>
      </c>
      <c r="B51" s="816"/>
      <c r="C51" s="809"/>
      <c r="D51" s="816">
        <v>63.53</v>
      </c>
      <c r="E51" s="809"/>
      <c r="F51" s="806"/>
      <c r="G51" s="806"/>
      <c r="H51" s="813"/>
      <c r="I51" s="809"/>
      <c r="J51" s="809"/>
      <c r="K51" s="809"/>
      <c r="L51" s="813"/>
      <c r="M51" s="816"/>
      <c r="N51" s="806"/>
      <c r="O51" s="807"/>
      <c r="P51" s="807"/>
      <c r="Q51" s="808"/>
      <c r="R51" s="806"/>
      <c r="S51" s="806"/>
      <c r="T51" s="808"/>
      <c r="U51" s="806">
        <v>0</v>
      </c>
    </row>
    <row r="52" spans="1:21">
      <c r="A52" s="799" t="s">
        <v>2222</v>
      </c>
      <c r="B52" s="809"/>
      <c r="C52" s="809"/>
      <c r="D52" s="813"/>
      <c r="E52" s="809"/>
      <c r="F52" s="806"/>
      <c r="G52" s="806"/>
      <c r="H52" s="809"/>
      <c r="I52" s="809"/>
      <c r="J52" s="813">
        <v>267.26</v>
      </c>
      <c r="K52" s="809"/>
      <c r="L52" s="816"/>
      <c r="M52" s="816"/>
      <c r="N52" s="806"/>
      <c r="O52" s="806"/>
      <c r="P52" s="806"/>
      <c r="Q52" s="808"/>
      <c r="R52" s="806">
        <v>267.26</v>
      </c>
      <c r="S52" s="806">
        <v>0</v>
      </c>
      <c r="T52" s="808"/>
      <c r="U52" s="806">
        <v>267.26</v>
      </c>
    </row>
    <row r="53" spans="1:21">
      <c r="A53" s="799" t="s">
        <v>604</v>
      </c>
      <c r="B53" s="816">
        <v>71.599999999999994</v>
      </c>
      <c r="C53" s="809"/>
      <c r="D53" s="809">
        <v>0.18</v>
      </c>
      <c r="E53" s="809"/>
      <c r="F53" s="806"/>
      <c r="G53" s="806"/>
      <c r="H53" s="809"/>
      <c r="I53" s="809"/>
      <c r="J53" s="798"/>
      <c r="K53" s="809"/>
      <c r="L53" s="816"/>
      <c r="M53" s="816"/>
      <c r="N53" s="814">
        <v>243.14</v>
      </c>
      <c r="O53" s="806"/>
      <c r="P53" s="814">
        <v>2705.58</v>
      </c>
      <c r="Q53" s="808"/>
      <c r="R53" s="806">
        <v>3020.5</v>
      </c>
      <c r="S53" s="806">
        <v>0</v>
      </c>
      <c r="T53" s="808"/>
      <c r="U53" s="806">
        <v>3020.5</v>
      </c>
    </row>
  </sheetData>
  <mergeCells count="8">
    <mergeCell ref="N3:O3"/>
    <mergeCell ref="R3:S3"/>
    <mergeCell ref="B3:C3"/>
    <mergeCell ref="D3:E3"/>
    <mergeCell ref="F3:G3"/>
    <mergeCell ref="H3:I3"/>
    <mergeCell ref="J3:K3"/>
    <mergeCell ref="L3:M3"/>
  </mergeCells>
  <pageMargins left="0.7" right="0.7" top="0.75" bottom="0.75" header="0.3" footer="0.3"/>
</worksheet>
</file>

<file path=xl/worksheets/sheet53.xml><?xml version="1.0" encoding="utf-8"?>
<worksheet xmlns="http://schemas.openxmlformats.org/spreadsheetml/2006/main" xmlns:r="http://schemas.openxmlformats.org/officeDocument/2006/relationships">
  <dimension ref="A1:U56"/>
  <sheetViews>
    <sheetView workbookViewId="0">
      <selection sqref="A1:XFD2"/>
    </sheetView>
  </sheetViews>
  <sheetFormatPr defaultRowHeight="15"/>
  <cols>
    <col min="1" max="1" width="27.140625" style="697" customWidth="1"/>
    <col min="2" max="2" width="12.140625" style="227" customWidth="1"/>
    <col min="3" max="3" width="10.5703125" style="227" customWidth="1"/>
    <col min="4" max="4" width="9" style="227" customWidth="1"/>
    <col min="5" max="5" width="12.7109375" style="227" customWidth="1"/>
    <col min="6" max="6" width="10.140625" style="697" customWidth="1"/>
    <col min="7" max="7" width="18.5703125" style="697" customWidth="1"/>
    <col min="8" max="8" width="13.140625" style="697" customWidth="1"/>
    <col min="9" max="9" width="11.85546875" style="697" customWidth="1"/>
    <col min="10" max="10" width="11.28515625" style="697" customWidth="1"/>
    <col min="11" max="11" width="12.42578125" style="697" customWidth="1"/>
    <col min="12" max="12" width="14.5703125" style="697" customWidth="1"/>
    <col min="13" max="13" width="9.5703125" style="697" customWidth="1"/>
    <col min="14" max="14" width="9.7109375" style="697" customWidth="1"/>
    <col min="15" max="15" width="13" style="697" customWidth="1"/>
    <col min="16" max="16" width="11.7109375" style="697" customWidth="1"/>
    <col min="17" max="17" width="3.5703125" style="840" customWidth="1"/>
    <col min="18" max="18" width="9.7109375" style="697" customWidth="1"/>
    <col min="19" max="19" width="9.140625" style="697"/>
    <col min="20" max="20" width="3.85546875" style="840" customWidth="1"/>
    <col min="21" max="21" width="24.140625" style="697" bestFit="1" customWidth="1"/>
    <col min="22" max="16384" width="9.140625" style="697"/>
  </cols>
  <sheetData>
    <row r="1" spans="1:21">
      <c r="A1" s="882" t="s">
        <v>2265</v>
      </c>
      <c r="B1" s="73"/>
      <c r="C1" s="73"/>
      <c r="D1" s="883"/>
      <c r="E1" s="697"/>
      <c r="Q1" s="697"/>
      <c r="T1" s="697"/>
    </row>
    <row r="2" spans="1:21">
      <c r="B2" s="697"/>
      <c r="C2" s="697"/>
      <c r="D2" s="697"/>
      <c r="E2" s="697"/>
      <c r="Q2" s="697"/>
      <c r="T2" s="697"/>
    </row>
    <row r="3" spans="1:21" s="227" customFormat="1">
      <c r="A3" s="822">
        <v>2011</v>
      </c>
      <c r="B3" s="1212" t="s">
        <v>893</v>
      </c>
      <c r="C3" s="1212"/>
      <c r="D3" s="1212" t="s">
        <v>2172</v>
      </c>
      <c r="E3" s="1212"/>
      <c r="F3" s="1212" t="s">
        <v>2173</v>
      </c>
      <c r="G3" s="1212"/>
      <c r="H3" s="1212" t="s">
        <v>2174</v>
      </c>
      <c r="I3" s="1212"/>
      <c r="J3" s="1212" t="s">
        <v>2175</v>
      </c>
      <c r="K3" s="1212"/>
      <c r="L3" s="1212" t="s">
        <v>2176</v>
      </c>
      <c r="M3" s="1212"/>
      <c r="N3" s="1212" t="s">
        <v>2177</v>
      </c>
      <c r="O3" s="1212"/>
      <c r="P3" s="823"/>
      <c r="Q3" s="823"/>
      <c r="R3" s="1212" t="s">
        <v>2178</v>
      </c>
      <c r="S3" s="1213"/>
      <c r="T3" s="824"/>
      <c r="U3" s="823" t="s">
        <v>2179</v>
      </c>
    </row>
    <row r="4" spans="1:21" s="826" customFormat="1">
      <c r="A4" s="825"/>
      <c r="B4" s="823" t="s">
        <v>2180</v>
      </c>
      <c r="C4" s="823" t="s">
        <v>604</v>
      </c>
      <c r="D4" s="823" t="s">
        <v>2180</v>
      </c>
      <c r="E4" s="823" t="s">
        <v>604</v>
      </c>
      <c r="F4" s="823" t="s">
        <v>2180</v>
      </c>
      <c r="G4" s="823" t="s">
        <v>604</v>
      </c>
      <c r="H4" s="823" t="s">
        <v>2180</v>
      </c>
      <c r="I4" s="823" t="s">
        <v>604</v>
      </c>
      <c r="J4" s="823" t="s">
        <v>2180</v>
      </c>
      <c r="K4" s="823" t="s">
        <v>604</v>
      </c>
      <c r="L4" s="823" t="s">
        <v>2180</v>
      </c>
      <c r="M4" s="823" t="s">
        <v>604</v>
      </c>
      <c r="N4" s="823" t="s">
        <v>2180</v>
      </c>
      <c r="O4" s="823" t="s">
        <v>604</v>
      </c>
      <c r="P4" s="823" t="s">
        <v>2181</v>
      </c>
      <c r="Q4" s="823"/>
      <c r="R4" s="823" t="s">
        <v>2180</v>
      </c>
      <c r="S4" s="823" t="s">
        <v>604</v>
      </c>
      <c r="T4" s="825"/>
      <c r="U4" s="825"/>
    </row>
    <row r="5" spans="1:21" s="227" customFormat="1">
      <c r="A5" s="822" t="s">
        <v>2182</v>
      </c>
      <c r="F5" s="827"/>
      <c r="G5" s="827"/>
      <c r="H5" s="827"/>
      <c r="I5" s="827"/>
      <c r="J5" s="827"/>
      <c r="K5" s="827"/>
      <c r="L5" s="827"/>
      <c r="M5" s="827"/>
      <c r="N5" s="827"/>
      <c r="O5" s="827"/>
      <c r="P5" s="827"/>
      <c r="Q5" s="827"/>
      <c r="R5" s="827"/>
      <c r="S5" s="827"/>
      <c r="T5" s="827"/>
      <c r="U5" s="827"/>
    </row>
    <row r="6" spans="1:21" s="227" customFormat="1">
      <c r="A6" s="824" t="s">
        <v>2183</v>
      </c>
      <c r="B6" s="827">
        <f>'[1]Total and Summary'!$D$3+'[1]Total and Summary'!$D$4</f>
        <v>578.79</v>
      </c>
      <c r="C6" s="827"/>
      <c r="D6" s="827">
        <f>'[2]DEQ Summary Facilities'!$B$4</f>
        <v>0.04</v>
      </c>
      <c r="E6" s="827">
        <f>'[2]DEQ Summary Facilities'!$C$4</f>
        <v>0</v>
      </c>
      <c r="F6" s="827"/>
      <c r="G6" s="827"/>
      <c r="H6" s="827">
        <v>109</v>
      </c>
      <c r="I6" s="827">
        <f>2.5+177.24+533.43+48</f>
        <v>761.17</v>
      </c>
      <c r="J6" s="827">
        <f>15.85+30+25+0.5+1.5</f>
        <v>72.849999999999994</v>
      </c>
      <c r="K6" s="827">
        <v>306.57</v>
      </c>
      <c r="L6" s="827">
        <v>1</v>
      </c>
      <c r="M6" s="827">
        <v>0.4</v>
      </c>
      <c r="N6" s="828">
        <f>68.7+65</f>
        <v>133.69999999999999</v>
      </c>
      <c r="O6" s="827">
        <v>6.81</v>
      </c>
      <c r="P6" s="828">
        <f>460.11+0.5</f>
        <v>460.61</v>
      </c>
      <c r="Q6" s="827"/>
      <c r="R6" s="827">
        <f t="shared" ref="R6:S17" si="0">SUM(B6+D6+F6+H6+J6+L6+N6)</f>
        <v>895.37999999999988</v>
      </c>
      <c r="S6" s="827">
        <f t="shared" si="0"/>
        <v>1074.95</v>
      </c>
      <c r="T6" s="827"/>
      <c r="U6" s="827">
        <f>SUM(R6:S6)</f>
        <v>1970.33</v>
      </c>
    </row>
    <row r="7" spans="1:21" s="227" customFormat="1">
      <c r="A7" s="824" t="s">
        <v>2184</v>
      </c>
      <c r="B7" s="827">
        <f>'[1]Total and Summary'!$D$5</f>
        <v>0.2</v>
      </c>
      <c r="C7" s="827"/>
      <c r="D7" s="827">
        <f>'[2]DEQ Summary Facilities'!$B$5</f>
        <v>6.7025000000000006</v>
      </c>
      <c r="E7" s="827">
        <f>'[2]DEQ Summary Facilities'!$F$5</f>
        <v>3.98</v>
      </c>
      <c r="F7" s="827"/>
      <c r="G7" s="827"/>
      <c r="H7" s="827">
        <v>18.190000000000001</v>
      </c>
      <c r="I7" s="827">
        <f>13.41+0.4</f>
        <v>13.81</v>
      </c>
      <c r="J7" s="827">
        <v>0.42</v>
      </c>
      <c r="K7" s="827">
        <f>6047+2288.9+30+0.04+0.06+8.32+28</f>
        <v>8402.32</v>
      </c>
      <c r="L7" s="827"/>
      <c r="M7" s="827">
        <f>4.6+0.11+0.37+1.84+19+10</f>
        <v>35.92</v>
      </c>
      <c r="N7" s="827"/>
      <c r="O7" s="827"/>
      <c r="P7" s="827"/>
      <c r="Q7" s="827"/>
      <c r="R7" s="827">
        <f t="shared" si="0"/>
        <v>25.512500000000003</v>
      </c>
      <c r="S7" s="827">
        <f t="shared" si="0"/>
        <v>8456.0300000000007</v>
      </c>
      <c r="T7" s="827"/>
      <c r="U7" s="827">
        <f>SUM(R7:S7)</f>
        <v>8481.5425000000014</v>
      </c>
    </row>
    <row r="8" spans="1:21" s="227" customFormat="1">
      <c r="A8" s="824" t="s">
        <v>2185</v>
      </c>
      <c r="B8" s="827"/>
      <c r="C8" s="827"/>
      <c r="D8" s="827"/>
      <c r="E8" s="827"/>
      <c r="F8" s="827"/>
      <c r="G8" s="827"/>
      <c r="H8" s="827"/>
      <c r="I8" s="827"/>
      <c r="J8" s="827"/>
      <c r="K8" s="827"/>
      <c r="L8" s="827"/>
      <c r="M8" s="827"/>
      <c r="N8" s="827"/>
      <c r="O8" s="827"/>
      <c r="P8" s="827"/>
      <c r="Q8" s="827"/>
      <c r="R8" s="827">
        <f t="shared" si="0"/>
        <v>0</v>
      </c>
      <c r="S8" s="827">
        <f t="shared" si="0"/>
        <v>0</v>
      </c>
      <c r="T8" s="827"/>
      <c r="U8" s="827">
        <f>SUM(R8:S8)</f>
        <v>0</v>
      </c>
    </row>
    <row r="9" spans="1:21" s="227" customFormat="1">
      <c r="A9" s="824" t="s">
        <v>2186</v>
      </c>
      <c r="B9" s="827"/>
      <c r="C9" s="827"/>
      <c r="D9" s="827"/>
      <c r="E9" s="827"/>
      <c r="F9" s="827"/>
      <c r="G9" s="827"/>
      <c r="H9" s="827"/>
      <c r="I9" s="827"/>
      <c r="J9" s="827"/>
      <c r="K9" s="827"/>
      <c r="L9" s="827"/>
      <c r="M9" s="827"/>
      <c r="N9" s="827"/>
      <c r="O9" s="827"/>
      <c r="P9" s="827"/>
      <c r="Q9" s="827"/>
      <c r="R9" s="827">
        <f t="shared" si="0"/>
        <v>0</v>
      </c>
      <c r="S9" s="827">
        <f t="shared" si="0"/>
        <v>0</v>
      </c>
      <c r="T9" s="827"/>
      <c r="U9" s="827">
        <f t="shared" ref="U9:U17" si="1">SUM(R9:S9)</f>
        <v>0</v>
      </c>
    </row>
    <row r="10" spans="1:21">
      <c r="A10" s="74" t="s">
        <v>2187</v>
      </c>
      <c r="B10" s="827">
        <f>'[1]Total and Summary'!$D$6</f>
        <v>461.1</v>
      </c>
      <c r="C10" s="827"/>
      <c r="D10" s="827">
        <f>'[2]DEQ Summary Facilities'!$B$8</f>
        <v>5.0885999999999996</v>
      </c>
      <c r="E10" s="827"/>
      <c r="F10" s="829"/>
      <c r="G10" s="829"/>
      <c r="H10" s="829"/>
      <c r="I10" s="829"/>
      <c r="J10" s="827">
        <f>0.38</f>
        <v>0.38</v>
      </c>
      <c r="K10" s="827">
        <v>2.3199999999999998</v>
      </c>
      <c r="L10" s="829"/>
      <c r="M10" s="829">
        <v>4</v>
      </c>
      <c r="N10" s="829">
        <v>172.8</v>
      </c>
      <c r="O10" s="829"/>
      <c r="P10" s="829">
        <v>534.80999999999995</v>
      </c>
      <c r="Q10" s="830"/>
      <c r="R10" s="829">
        <f t="shared" si="0"/>
        <v>639.36860000000001</v>
      </c>
      <c r="S10" s="829">
        <f t="shared" si="0"/>
        <v>6.32</v>
      </c>
      <c r="T10" s="830"/>
      <c r="U10" s="829">
        <f t="shared" si="1"/>
        <v>645.68860000000006</v>
      </c>
    </row>
    <row r="11" spans="1:21">
      <c r="A11" s="74" t="s">
        <v>2188</v>
      </c>
      <c r="B11" s="827"/>
      <c r="C11" s="827">
        <f>'[1]Total and Summary'!$D$7</f>
        <v>756.57</v>
      </c>
      <c r="D11" s="827"/>
      <c r="E11" s="827"/>
      <c r="F11" s="829"/>
      <c r="G11" s="829"/>
      <c r="H11" s="829"/>
      <c r="I11" s="829"/>
      <c r="J11" s="829"/>
      <c r="K11" s="829"/>
      <c r="L11" s="829"/>
      <c r="M11" s="829"/>
      <c r="N11" s="829"/>
      <c r="O11" s="829"/>
      <c r="P11" s="829"/>
      <c r="Q11" s="830"/>
      <c r="R11" s="829">
        <f t="shared" si="0"/>
        <v>0</v>
      </c>
      <c r="S11" s="829">
        <f t="shared" si="0"/>
        <v>756.57</v>
      </c>
      <c r="T11" s="830"/>
      <c r="U11" s="829">
        <f t="shared" si="1"/>
        <v>756.57</v>
      </c>
    </row>
    <row r="12" spans="1:21">
      <c r="A12" s="74" t="s">
        <v>2189</v>
      </c>
      <c r="B12" s="827"/>
      <c r="C12" s="828">
        <f>'[1]Total and Summary'!$D$8</f>
        <v>1533.6599999999999</v>
      </c>
      <c r="D12" s="827"/>
      <c r="E12" s="827"/>
      <c r="F12" s="829"/>
      <c r="G12" s="829"/>
      <c r="H12" s="829"/>
      <c r="I12" s="829"/>
      <c r="J12" s="829">
        <f>62.2+10</f>
        <v>72.2</v>
      </c>
      <c r="K12" s="829"/>
      <c r="L12" s="829"/>
      <c r="M12" s="829"/>
      <c r="N12" s="829"/>
      <c r="O12" s="829"/>
      <c r="P12" s="829">
        <v>0.5</v>
      </c>
      <c r="Q12" s="830"/>
      <c r="R12" s="829">
        <f t="shared" si="0"/>
        <v>72.2</v>
      </c>
      <c r="S12" s="829">
        <f t="shared" si="0"/>
        <v>1533.6599999999999</v>
      </c>
      <c r="T12" s="830"/>
      <c r="U12" s="829">
        <f t="shared" si="1"/>
        <v>1605.86</v>
      </c>
    </row>
    <row r="13" spans="1:21">
      <c r="A13" s="74" t="s">
        <v>2190</v>
      </c>
      <c r="B13" s="827"/>
      <c r="C13" s="827"/>
      <c r="D13" s="827"/>
      <c r="E13" s="827"/>
      <c r="F13" s="829"/>
      <c r="G13" s="829"/>
      <c r="H13" s="829"/>
      <c r="I13" s="829">
        <v>101.36</v>
      </c>
      <c r="J13" s="829"/>
      <c r="K13" s="827"/>
      <c r="L13" s="829"/>
      <c r="M13" s="829"/>
      <c r="N13" s="829"/>
      <c r="O13" s="829"/>
      <c r="P13" s="829"/>
      <c r="Q13" s="830"/>
      <c r="R13" s="829">
        <f t="shared" si="0"/>
        <v>0</v>
      </c>
      <c r="S13" s="829">
        <f t="shared" si="0"/>
        <v>101.36</v>
      </c>
      <c r="T13" s="830"/>
      <c r="U13" s="829">
        <f t="shared" si="1"/>
        <v>101.36</v>
      </c>
    </row>
    <row r="14" spans="1:21">
      <c r="A14" s="74" t="s">
        <v>2191</v>
      </c>
      <c r="B14" s="827"/>
      <c r="C14" s="827"/>
      <c r="D14" s="827">
        <f>'[2]DEQ Summary Facilities'!$B$12</f>
        <v>12.994199999999999</v>
      </c>
      <c r="E14" s="827"/>
      <c r="F14" s="829"/>
      <c r="G14" s="829"/>
      <c r="H14" s="829"/>
      <c r="I14" s="829"/>
      <c r="J14" s="829"/>
      <c r="K14" s="829"/>
      <c r="L14" s="829"/>
      <c r="M14" s="829"/>
      <c r="N14" s="829"/>
      <c r="O14" s="829"/>
      <c r="P14" s="829"/>
      <c r="Q14" s="830"/>
      <c r="R14" s="829">
        <f t="shared" si="0"/>
        <v>12.994199999999999</v>
      </c>
      <c r="S14" s="829">
        <f t="shared" si="0"/>
        <v>0</v>
      </c>
      <c r="T14" s="830"/>
      <c r="U14" s="829">
        <f t="shared" si="1"/>
        <v>12.994199999999999</v>
      </c>
    </row>
    <row r="15" spans="1:21">
      <c r="A15" s="74" t="s">
        <v>604</v>
      </c>
      <c r="B15" s="827"/>
      <c r="C15" s="827"/>
      <c r="D15" s="827"/>
      <c r="E15" s="831">
        <f>'[2]DEQ Summary Facilities'!$C$13</f>
        <v>2.615E-2</v>
      </c>
      <c r="F15" s="829"/>
      <c r="G15" s="829"/>
      <c r="H15" s="829"/>
      <c r="I15" s="662">
        <f>5.3+13.26</f>
        <v>18.559999999999999</v>
      </c>
      <c r="J15" s="829"/>
      <c r="K15" s="829">
        <f>1.82+12.97</f>
        <v>14.790000000000001</v>
      </c>
      <c r="L15" s="829"/>
      <c r="M15" s="829"/>
      <c r="N15" s="829"/>
      <c r="O15" s="829"/>
      <c r="P15" s="829"/>
      <c r="Q15" s="830"/>
      <c r="R15" s="829">
        <f t="shared" si="0"/>
        <v>0</v>
      </c>
      <c r="S15" s="829">
        <f>SUM(C15+E15+G15+I15+K15+M15+O15)</f>
        <v>33.376150000000003</v>
      </c>
      <c r="T15" s="830"/>
      <c r="U15" s="829">
        <f t="shared" si="1"/>
        <v>33.376150000000003</v>
      </c>
    </row>
    <row r="16" spans="1:21">
      <c r="A16" s="832" t="s">
        <v>2223</v>
      </c>
      <c r="B16" s="827"/>
      <c r="C16" s="827"/>
      <c r="D16" s="827"/>
      <c r="E16" s="828"/>
      <c r="F16" s="829"/>
      <c r="G16" s="829"/>
      <c r="H16" s="829"/>
      <c r="I16" s="829">
        <v>6.72</v>
      </c>
      <c r="J16" s="829"/>
      <c r="K16" s="829">
        <v>8.73</v>
      </c>
      <c r="L16" s="829"/>
      <c r="M16" s="829"/>
      <c r="N16" s="829"/>
      <c r="O16" s="829"/>
      <c r="P16" s="829">
        <f>25.7+16.08</f>
        <v>41.78</v>
      </c>
      <c r="Q16" s="830"/>
      <c r="R16" s="829"/>
      <c r="S16" s="829">
        <f>SUM(C16+E16+G16+I16+K16+M16+O16)</f>
        <v>15.45</v>
      </c>
      <c r="T16" s="830"/>
      <c r="U16" s="829"/>
    </row>
    <row r="17" spans="1:21">
      <c r="A17" s="832" t="s">
        <v>2192</v>
      </c>
      <c r="B17" s="833">
        <f>SUM(B6:B16)</f>
        <v>1040.0900000000001</v>
      </c>
      <c r="C17" s="833">
        <f>SUM(C6:C16)</f>
        <v>2290.23</v>
      </c>
      <c r="D17" s="833">
        <f>SUM(D6:D16)</f>
        <v>24.825299999999999</v>
      </c>
      <c r="E17" s="833">
        <f>SUM(E6:E16)</f>
        <v>4.0061499999999999</v>
      </c>
      <c r="F17" s="834">
        <f>SUM(F6:F14)</f>
        <v>0</v>
      </c>
      <c r="G17" s="834">
        <f>SUM(G6:G14)</f>
        <v>0</v>
      </c>
      <c r="H17" s="834">
        <f>SUM(H6:H14)</f>
        <v>127.19</v>
      </c>
      <c r="I17" s="834">
        <f t="shared" ref="I17:P17" si="2">SUM(I6:I16)</f>
        <v>901.61999999999989</v>
      </c>
      <c r="J17" s="834">
        <f t="shared" si="2"/>
        <v>145.85</v>
      </c>
      <c r="K17" s="834">
        <f t="shared" si="2"/>
        <v>8734.73</v>
      </c>
      <c r="L17" s="834">
        <f t="shared" si="2"/>
        <v>1</v>
      </c>
      <c r="M17" s="834">
        <f t="shared" si="2"/>
        <v>40.32</v>
      </c>
      <c r="N17" s="834">
        <f t="shared" si="2"/>
        <v>306.5</v>
      </c>
      <c r="O17" s="834">
        <f t="shared" si="2"/>
        <v>6.81</v>
      </c>
      <c r="P17" s="834">
        <f t="shared" si="2"/>
        <v>1037.7</v>
      </c>
      <c r="Q17" s="830"/>
      <c r="R17" s="829">
        <f t="shared" si="0"/>
        <v>1645.4553000000001</v>
      </c>
      <c r="S17" s="829">
        <f t="shared" si="0"/>
        <v>11977.716149999998</v>
      </c>
      <c r="T17" s="830"/>
      <c r="U17" s="829">
        <f t="shared" si="1"/>
        <v>13623.171449999998</v>
      </c>
    </row>
    <row r="18" spans="1:21">
      <c r="A18" s="74"/>
      <c r="B18" s="827"/>
      <c r="C18" s="827"/>
      <c r="D18" s="827"/>
      <c r="E18" s="827"/>
      <c r="F18" s="829"/>
      <c r="G18" s="829"/>
      <c r="H18" s="829"/>
      <c r="I18" s="829"/>
      <c r="J18" s="829"/>
      <c r="K18" s="829"/>
      <c r="L18" s="829"/>
      <c r="M18" s="829"/>
      <c r="N18" s="829"/>
      <c r="O18" s="829"/>
      <c r="P18" s="829"/>
      <c r="Q18" s="830"/>
      <c r="R18" s="829"/>
      <c r="S18" s="829"/>
      <c r="T18" s="830"/>
      <c r="U18" s="829"/>
    </row>
    <row r="19" spans="1:21">
      <c r="A19" s="832" t="s">
        <v>2193</v>
      </c>
      <c r="B19" s="827"/>
      <c r="C19" s="827"/>
      <c r="D19" s="827"/>
      <c r="E19" s="827"/>
      <c r="F19" s="829"/>
      <c r="G19" s="829"/>
      <c r="H19" s="829"/>
      <c r="I19" s="829"/>
      <c r="J19" s="829"/>
      <c r="K19" s="829"/>
      <c r="L19" s="829"/>
      <c r="M19" s="829"/>
      <c r="N19" s="829"/>
      <c r="O19" s="829"/>
      <c r="P19" s="829"/>
      <c r="Q19" s="830"/>
      <c r="R19" s="829"/>
      <c r="S19" s="829"/>
      <c r="T19" s="830"/>
      <c r="U19" s="829"/>
    </row>
    <row r="20" spans="1:21">
      <c r="A20" s="74" t="s">
        <v>2194</v>
      </c>
      <c r="B20" s="827">
        <f>'[1]Total and Summary'!$D$11</f>
        <v>1.02</v>
      </c>
      <c r="C20" s="827"/>
      <c r="D20" s="827">
        <f>'[2]DEQ Summary Facilities'!$B$17</f>
        <v>4.8899999999999997</v>
      </c>
      <c r="E20" s="827">
        <f>'[2]DEQ Summary Facilities'!$C$17</f>
        <v>4.0599999999999996</v>
      </c>
      <c r="F20" s="829"/>
      <c r="G20" s="829"/>
      <c r="H20" s="829"/>
      <c r="I20" s="829"/>
      <c r="J20" s="829"/>
      <c r="K20" s="829">
        <v>2.31</v>
      </c>
      <c r="L20" s="829">
        <f>3.5+1.72+2.1</f>
        <v>7.32</v>
      </c>
      <c r="M20" s="829">
        <v>13.2</v>
      </c>
      <c r="N20" s="829"/>
      <c r="O20" s="829"/>
      <c r="P20" s="829">
        <v>0.4</v>
      </c>
      <c r="Q20" s="830"/>
      <c r="R20" s="829">
        <f t="shared" ref="R20:S35" si="3">SUM(B20+D20+F20+H20+J20+L20+N20)</f>
        <v>13.23</v>
      </c>
      <c r="S20" s="829">
        <f t="shared" si="3"/>
        <v>19.57</v>
      </c>
      <c r="T20" s="830"/>
      <c r="U20" s="829">
        <f>SUM(R20:S20)</f>
        <v>32.799999999999997</v>
      </c>
    </row>
    <row r="21" spans="1:21">
      <c r="A21" s="74" t="s">
        <v>2195</v>
      </c>
      <c r="B21" s="827"/>
      <c r="C21" s="827"/>
      <c r="D21" s="827"/>
      <c r="E21" s="827">
        <f>'[2]DEQ Summary Facilities'!$C$18+'[2]DEQ Summary Facilities'!$C$19</f>
        <v>9.0193999999999992</v>
      </c>
      <c r="F21" s="829"/>
      <c r="G21" s="829"/>
      <c r="H21" s="829"/>
      <c r="I21" s="829">
        <f>0.17</f>
        <v>0.17</v>
      </c>
      <c r="J21" s="829"/>
      <c r="K21" s="829">
        <f>22.04+3.24+0.03+0.02+6.35</f>
        <v>31.68</v>
      </c>
      <c r="L21" s="829"/>
      <c r="M21" s="829">
        <f>4.81+31.48+0.21+2.19+0.07+14.8+0.02+9.86+21.62+0.08</f>
        <v>85.14</v>
      </c>
      <c r="N21" s="829"/>
      <c r="O21" s="829"/>
      <c r="P21" s="829"/>
      <c r="Q21" s="830"/>
      <c r="R21" s="829">
        <f t="shared" si="3"/>
        <v>0</v>
      </c>
      <c r="S21" s="829">
        <f t="shared" si="3"/>
        <v>126.0094</v>
      </c>
      <c r="T21" s="830"/>
      <c r="U21" s="829">
        <f>SUM(R21:S21)</f>
        <v>126.0094</v>
      </c>
    </row>
    <row r="22" spans="1:21">
      <c r="A22" s="74" t="s">
        <v>2224</v>
      </c>
      <c r="B22" s="827"/>
      <c r="C22" s="827"/>
      <c r="D22" s="827"/>
      <c r="E22" s="827"/>
      <c r="F22" s="829"/>
      <c r="G22" s="829"/>
      <c r="H22" s="829"/>
      <c r="I22" s="829"/>
      <c r="J22" s="829"/>
      <c r="K22" s="829">
        <v>0</v>
      </c>
      <c r="L22" s="829"/>
      <c r="M22" s="827">
        <v>0</v>
      </c>
      <c r="N22" s="827"/>
      <c r="O22" s="829"/>
      <c r="P22" s="829"/>
      <c r="Q22" s="830"/>
      <c r="R22" s="829">
        <f t="shared" si="3"/>
        <v>0</v>
      </c>
      <c r="S22" s="829">
        <f t="shared" si="3"/>
        <v>0</v>
      </c>
      <c r="T22" s="830"/>
      <c r="U22" s="829">
        <f t="shared" ref="U22:U35" si="4">SUM(R22:S22)</f>
        <v>0</v>
      </c>
    </row>
    <row r="23" spans="1:21">
      <c r="A23" s="74" t="s">
        <v>2197</v>
      </c>
      <c r="B23" s="827"/>
      <c r="C23" s="827"/>
      <c r="D23" s="827"/>
      <c r="E23" s="827">
        <f>'[2]DEQ Summary Facilities'!$C$21</f>
        <v>0.23155000000000001</v>
      </c>
      <c r="F23" s="829"/>
      <c r="G23" s="829"/>
      <c r="H23" s="829"/>
      <c r="I23" s="829"/>
      <c r="J23" s="829"/>
      <c r="K23" s="827"/>
      <c r="L23" s="829"/>
      <c r="M23" s="829">
        <f>0.65+3.69+5.05</f>
        <v>9.39</v>
      </c>
      <c r="N23" s="829"/>
      <c r="O23" s="829"/>
      <c r="P23" s="829"/>
      <c r="Q23" s="830"/>
      <c r="R23" s="829">
        <f t="shared" si="3"/>
        <v>0</v>
      </c>
      <c r="S23" s="829">
        <f t="shared" si="3"/>
        <v>9.6215500000000009</v>
      </c>
      <c r="T23" s="830"/>
      <c r="U23" s="829">
        <f t="shared" si="4"/>
        <v>9.6215500000000009</v>
      </c>
    </row>
    <row r="24" spans="1:21">
      <c r="A24" s="74" t="s">
        <v>2198</v>
      </c>
      <c r="B24" s="827"/>
      <c r="C24" s="827"/>
      <c r="D24" s="827"/>
      <c r="E24" s="827">
        <v>0</v>
      </c>
      <c r="F24" s="829"/>
      <c r="G24" s="829"/>
      <c r="H24" s="829"/>
      <c r="I24" s="829"/>
      <c r="J24" s="829"/>
      <c r="K24" s="829"/>
      <c r="L24" s="829"/>
      <c r="M24" s="827">
        <f>3.65+3.65</f>
        <v>7.3</v>
      </c>
      <c r="N24" s="829"/>
      <c r="O24" s="829"/>
      <c r="P24" s="829"/>
      <c r="Q24" s="830"/>
      <c r="R24" s="829">
        <f t="shared" si="3"/>
        <v>0</v>
      </c>
      <c r="S24" s="829">
        <f t="shared" si="3"/>
        <v>7.3</v>
      </c>
      <c r="T24" s="830"/>
      <c r="U24" s="829">
        <f t="shared" si="4"/>
        <v>7.3</v>
      </c>
    </row>
    <row r="25" spans="1:21">
      <c r="A25" s="74" t="s">
        <v>2199</v>
      </c>
      <c r="B25" s="827"/>
      <c r="C25" s="827"/>
      <c r="D25" s="827"/>
      <c r="E25" s="827">
        <f>'[2]DEQ Summary Facilities'!$C$23</f>
        <v>0.20100000000000001</v>
      </c>
      <c r="F25" s="829"/>
      <c r="G25" s="829"/>
      <c r="H25" s="829"/>
      <c r="I25" s="829"/>
      <c r="J25" s="829"/>
      <c r="K25" s="829">
        <v>79.58</v>
      </c>
      <c r="L25" s="829"/>
      <c r="M25" s="829"/>
      <c r="N25" s="829"/>
      <c r="O25" s="829"/>
      <c r="P25" s="829"/>
      <c r="Q25" s="830"/>
      <c r="R25" s="829">
        <f t="shared" si="3"/>
        <v>0</v>
      </c>
      <c r="S25" s="829">
        <f t="shared" si="3"/>
        <v>79.780999999999992</v>
      </c>
      <c r="T25" s="830"/>
      <c r="U25" s="829">
        <f t="shared" si="4"/>
        <v>79.780999999999992</v>
      </c>
    </row>
    <row r="26" spans="1:21">
      <c r="A26" s="74" t="s">
        <v>2200</v>
      </c>
      <c r="B26" s="827"/>
      <c r="C26" s="827"/>
      <c r="D26" s="827"/>
      <c r="E26" s="827">
        <v>0</v>
      </c>
      <c r="F26" s="829"/>
      <c r="G26" s="829"/>
      <c r="H26" s="829"/>
      <c r="I26" s="829"/>
      <c r="J26" s="829"/>
      <c r="K26" s="829"/>
      <c r="L26" s="829"/>
      <c r="M26" s="829">
        <f>5+20</f>
        <v>25</v>
      </c>
      <c r="N26" s="829"/>
      <c r="O26" s="829"/>
      <c r="P26" s="829"/>
      <c r="Q26" s="830"/>
      <c r="R26" s="829">
        <f t="shared" si="3"/>
        <v>0</v>
      </c>
      <c r="S26" s="829">
        <f t="shared" si="3"/>
        <v>25</v>
      </c>
      <c r="T26" s="830"/>
      <c r="U26" s="829">
        <f t="shared" si="4"/>
        <v>25</v>
      </c>
    </row>
    <row r="27" spans="1:21">
      <c r="A27" s="74" t="s">
        <v>2201</v>
      </c>
      <c r="B27" s="827"/>
      <c r="C27" s="827"/>
      <c r="D27" s="827"/>
      <c r="E27" s="827">
        <f>'[2]DEQ Summary Facilities'!$C$25</f>
        <v>2.0320999999999998</v>
      </c>
      <c r="F27" s="829"/>
      <c r="G27" s="829"/>
      <c r="H27" s="829"/>
      <c r="I27" s="829"/>
      <c r="J27" s="829"/>
      <c r="K27" s="829">
        <f>0.09+0.38+0.01</f>
        <v>0.48</v>
      </c>
      <c r="L27" s="829"/>
      <c r="M27" s="829">
        <f>1.08+41.52+8+4+1</f>
        <v>55.6</v>
      </c>
      <c r="N27" s="829"/>
      <c r="O27" s="829"/>
      <c r="P27" s="829">
        <v>0.11</v>
      </c>
      <c r="Q27" s="830"/>
      <c r="R27" s="829">
        <f t="shared" si="3"/>
        <v>0</v>
      </c>
      <c r="S27" s="829">
        <f t="shared" si="3"/>
        <v>58.112099999999998</v>
      </c>
      <c r="T27" s="830"/>
      <c r="U27" s="829">
        <f t="shared" si="4"/>
        <v>58.112099999999998</v>
      </c>
    </row>
    <row r="28" spans="1:21">
      <c r="A28" s="74" t="s">
        <v>2202</v>
      </c>
      <c r="B28" s="827"/>
      <c r="C28" s="827"/>
      <c r="D28" s="827"/>
      <c r="E28" s="827">
        <v>0</v>
      </c>
      <c r="F28" s="829"/>
      <c r="G28" s="829"/>
      <c r="H28" s="829"/>
      <c r="I28" s="829"/>
      <c r="J28" s="829"/>
      <c r="K28" s="829"/>
      <c r="L28" s="829"/>
      <c r="M28" s="829"/>
      <c r="N28" s="829"/>
      <c r="O28" s="829"/>
      <c r="P28" s="829"/>
      <c r="Q28" s="830"/>
      <c r="R28" s="829">
        <f t="shared" si="3"/>
        <v>0</v>
      </c>
      <c r="S28" s="829">
        <f t="shared" si="3"/>
        <v>0</v>
      </c>
      <c r="T28" s="830"/>
      <c r="U28" s="829">
        <f t="shared" si="4"/>
        <v>0</v>
      </c>
    </row>
    <row r="29" spans="1:21" s="227" customFormat="1">
      <c r="A29" s="824" t="s">
        <v>2203</v>
      </c>
      <c r="B29" s="827">
        <f>'[1]Total and Summary'!$D$12</f>
        <v>2.0819999999999999</v>
      </c>
      <c r="C29" s="827"/>
      <c r="D29" s="827">
        <f>'[2]DEQ Summary Facilities'!$B$27</f>
        <v>0.23400000000000001</v>
      </c>
      <c r="E29" s="827">
        <f>'[2]DEQ Summary Facilities'!$C$27</f>
        <v>0.24604999999999999</v>
      </c>
      <c r="F29" s="827"/>
      <c r="G29" s="827"/>
      <c r="H29" s="827"/>
      <c r="I29" s="827">
        <v>0.05</v>
      </c>
      <c r="J29" s="827"/>
      <c r="K29" s="827">
        <v>0.01</v>
      </c>
      <c r="L29" s="827"/>
      <c r="M29" s="827"/>
      <c r="N29" s="827"/>
      <c r="O29" s="827"/>
      <c r="P29" s="827"/>
      <c r="Q29" s="827"/>
      <c r="R29" s="827">
        <f t="shared" si="3"/>
        <v>2.3159999999999998</v>
      </c>
      <c r="S29" s="827">
        <f t="shared" si="3"/>
        <v>0.30604999999999999</v>
      </c>
      <c r="T29" s="827"/>
      <c r="U29" s="827">
        <f t="shared" si="4"/>
        <v>2.6220499999999998</v>
      </c>
    </row>
    <row r="30" spans="1:21">
      <c r="A30" s="74" t="s">
        <v>2204</v>
      </c>
      <c r="B30" s="827">
        <f>'[1]Total and Summary'!$D$13</f>
        <v>56.168500000000002</v>
      </c>
      <c r="C30" s="827"/>
      <c r="D30" s="827">
        <f>'[2]DEQ Summary Facilities'!$B$28</f>
        <v>2.6804999999999999</v>
      </c>
      <c r="E30" s="827">
        <v>0</v>
      </c>
      <c r="F30" s="829"/>
      <c r="G30" s="829"/>
      <c r="H30" s="829"/>
      <c r="I30" s="829"/>
      <c r="J30" s="829"/>
      <c r="K30" s="829">
        <f>2.15+5.32</f>
        <v>7.4700000000000006</v>
      </c>
      <c r="L30" s="829"/>
      <c r="M30" s="829"/>
      <c r="N30" s="829"/>
      <c r="O30" s="829"/>
      <c r="P30" s="829"/>
      <c r="Q30" s="830"/>
      <c r="R30" s="829">
        <f t="shared" si="3"/>
        <v>58.849000000000004</v>
      </c>
      <c r="S30" s="829">
        <f t="shared" si="3"/>
        <v>7.4700000000000006</v>
      </c>
      <c r="T30" s="830"/>
      <c r="U30" s="829">
        <f t="shared" si="4"/>
        <v>66.319000000000003</v>
      </c>
    </row>
    <row r="31" spans="1:21">
      <c r="A31" s="74" t="s">
        <v>2205</v>
      </c>
      <c r="B31" s="827"/>
      <c r="C31" s="827"/>
      <c r="D31" s="827"/>
      <c r="E31" s="827">
        <v>0</v>
      </c>
      <c r="F31" s="829"/>
      <c r="G31" s="829"/>
      <c r="H31" s="829"/>
      <c r="I31" s="829"/>
      <c r="J31" s="829"/>
      <c r="K31" s="829"/>
      <c r="L31" s="829"/>
      <c r="M31" s="829"/>
      <c r="N31" s="829"/>
      <c r="O31" s="829"/>
      <c r="P31" s="829"/>
      <c r="Q31" s="830"/>
      <c r="R31" s="829">
        <f t="shared" si="3"/>
        <v>0</v>
      </c>
      <c r="S31" s="829">
        <f t="shared" si="3"/>
        <v>0</v>
      </c>
      <c r="T31" s="830"/>
      <c r="U31" s="829">
        <f t="shared" si="4"/>
        <v>0</v>
      </c>
    </row>
    <row r="32" spans="1:21">
      <c r="A32" s="74" t="s">
        <v>2206</v>
      </c>
      <c r="B32" s="827"/>
      <c r="C32" s="827"/>
      <c r="D32" s="827"/>
      <c r="E32" s="827">
        <v>0</v>
      </c>
      <c r="F32" s="829"/>
      <c r="G32" s="829"/>
      <c r="H32" s="829"/>
      <c r="I32" s="829">
        <f>0.76+0.76</f>
        <v>1.52</v>
      </c>
      <c r="J32" s="829"/>
      <c r="K32" s="829">
        <f>1+2.28</f>
        <v>3.28</v>
      </c>
      <c r="L32" s="829"/>
      <c r="M32" s="829"/>
      <c r="N32" s="829"/>
      <c r="O32" s="829">
        <f>201.92+43.38</f>
        <v>245.29999999999998</v>
      </c>
      <c r="P32" s="829"/>
      <c r="Q32" s="830"/>
      <c r="R32" s="829">
        <f t="shared" si="3"/>
        <v>0</v>
      </c>
      <c r="S32" s="829">
        <f t="shared" si="3"/>
        <v>250.1</v>
      </c>
      <c r="T32" s="830"/>
      <c r="U32" s="829">
        <f t="shared" si="4"/>
        <v>250.1</v>
      </c>
    </row>
    <row r="33" spans="1:21">
      <c r="A33" s="74" t="s">
        <v>604</v>
      </c>
      <c r="B33" s="827"/>
      <c r="C33" s="827"/>
      <c r="D33" s="827">
        <f>'[2]DEQ Summary Facilities'!$B$31</f>
        <v>2.7E-2</v>
      </c>
      <c r="E33" s="827">
        <f>'[2]DEQ Summary Facilities'!$C$31</f>
        <v>9.4649999999999998E-2</v>
      </c>
      <c r="F33" s="829"/>
      <c r="G33" s="829"/>
      <c r="H33" s="829"/>
      <c r="I33" s="829">
        <v>0.04</v>
      </c>
      <c r="J33" s="829"/>
      <c r="K33" s="829">
        <v>0.73</v>
      </c>
      <c r="L33" s="829"/>
      <c r="M33" s="829"/>
      <c r="N33" s="829"/>
      <c r="O33" s="829">
        <v>17.329999999999998</v>
      </c>
      <c r="P33" s="829"/>
      <c r="Q33" s="830"/>
      <c r="R33" s="829">
        <f t="shared" si="3"/>
        <v>2.7E-2</v>
      </c>
      <c r="S33" s="829">
        <f>SUM(C33+E33+G33+I33+K33+M33+O33)</f>
        <v>18.194649999999999</v>
      </c>
      <c r="T33" s="830"/>
      <c r="U33" s="829">
        <f t="shared" si="4"/>
        <v>18.22165</v>
      </c>
    </row>
    <row r="34" spans="1:21">
      <c r="A34" s="832" t="s">
        <v>2207</v>
      </c>
      <c r="B34" s="833">
        <f>SUM(B20:B33)</f>
        <v>59.270499999999998</v>
      </c>
      <c r="C34" s="833">
        <f>SUM(C20:C33)</f>
        <v>0</v>
      </c>
      <c r="D34" s="833">
        <f>SUM(D20:D33)</f>
        <v>7.8314999999999992</v>
      </c>
      <c r="E34" s="833">
        <f>SUM(E20:E33)</f>
        <v>15.88475</v>
      </c>
      <c r="F34" s="834">
        <f t="shared" ref="F34:O34" si="5">SUM(F20:F33)</f>
        <v>0</v>
      </c>
      <c r="G34" s="834">
        <f t="shared" si="5"/>
        <v>0</v>
      </c>
      <c r="H34" s="834">
        <f t="shared" si="5"/>
        <v>0</v>
      </c>
      <c r="I34" s="834">
        <f>SUM(I20:I33)</f>
        <v>1.78</v>
      </c>
      <c r="J34" s="834">
        <f t="shared" si="5"/>
        <v>0</v>
      </c>
      <c r="K34" s="834">
        <f t="shared" si="5"/>
        <v>125.54</v>
      </c>
      <c r="L34" s="834">
        <f t="shared" si="5"/>
        <v>7.32</v>
      </c>
      <c r="M34" s="834">
        <f t="shared" si="5"/>
        <v>195.63</v>
      </c>
      <c r="N34" s="834">
        <f t="shared" si="5"/>
        <v>0</v>
      </c>
      <c r="O34" s="834">
        <f t="shared" si="5"/>
        <v>262.63</v>
      </c>
      <c r="P34" s="834">
        <f>SUM(P20:P33)</f>
        <v>0.51</v>
      </c>
      <c r="Q34" s="830"/>
      <c r="R34" s="829">
        <f t="shared" si="3"/>
        <v>74.421999999999997</v>
      </c>
      <c r="S34" s="829">
        <f t="shared" si="3"/>
        <v>601.46474999999998</v>
      </c>
      <c r="T34" s="830"/>
      <c r="U34" s="829">
        <f t="shared" si="4"/>
        <v>675.88675000000001</v>
      </c>
    </row>
    <row r="35" spans="1:21">
      <c r="A35" s="832" t="s">
        <v>2208</v>
      </c>
      <c r="B35" s="833">
        <v>0</v>
      </c>
      <c r="C35" s="833">
        <v>0</v>
      </c>
      <c r="D35" s="833">
        <v>0</v>
      </c>
      <c r="E35" s="833"/>
      <c r="F35" s="834">
        <v>0</v>
      </c>
      <c r="G35" s="834">
        <v>0</v>
      </c>
      <c r="H35" s="834">
        <v>0</v>
      </c>
      <c r="I35" s="834">
        <f>7.69+900+200</f>
        <v>1107.69</v>
      </c>
      <c r="J35" s="834">
        <v>0</v>
      </c>
      <c r="K35" s="834">
        <v>0</v>
      </c>
      <c r="L35" s="834">
        <v>0</v>
      </c>
      <c r="M35" s="834"/>
      <c r="N35" s="834">
        <v>0</v>
      </c>
      <c r="O35" s="834">
        <v>0</v>
      </c>
      <c r="P35" s="834">
        <v>0</v>
      </c>
      <c r="Q35" s="830"/>
      <c r="R35" s="829">
        <f t="shared" si="3"/>
        <v>0</v>
      </c>
      <c r="S35" s="829">
        <f t="shared" si="3"/>
        <v>1107.69</v>
      </c>
      <c r="T35" s="830"/>
      <c r="U35" s="829">
        <f t="shared" si="4"/>
        <v>1107.69</v>
      </c>
    </row>
    <row r="36" spans="1:21">
      <c r="A36" s="832"/>
      <c r="B36" s="827"/>
      <c r="C36" s="827"/>
      <c r="D36" s="827"/>
      <c r="E36" s="827"/>
      <c r="F36" s="829"/>
      <c r="G36" s="829"/>
      <c r="H36" s="829"/>
      <c r="I36" s="829"/>
      <c r="J36" s="829"/>
      <c r="K36" s="834"/>
      <c r="L36" s="829"/>
      <c r="M36" s="829"/>
      <c r="N36" s="829"/>
      <c r="O36" s="829"/>
      <c r="P36" s="829"/>
      <c r="Q36" s="830"/>
      <c r="R36" s="829"/>
      <c r="S36" s="829"/>
      <c r="T36" s="830"/>
      <c r="U36" s="829"/>
    </row>
    <row r="37" spans="1:21">
      <c r="A37" s="832" t="s">
        <v>2209</v>
      </c>
      <c r="B37" s="827"/>
      <c r="C37" s="827"/>
      <c r="D37" s="827"/>
      <c r="E37" s="827"/>
      <c r="F37" s="829"/>
      <c r="G37" s="829"/>
      <c r="H37" s="829"/>
      <c r="I37" s="829"/>
      <c r="J37" s="829"/>
      <c r="K37" s="829"/>
      <c r="L37" s="829"/>
      <c r="M37" s="829"/>
      <c r="N37" s="829"/>
      <c r="O37" s="829"/>
      <c r="P37" s="829"/>
      <c r="Q37" s="830"/>
      <c r="R37" s="829"/>
      <c r="S37" s="829"/>
      <c r="T37" s="830"/>
      <c r="U37" s="829"/>
    </row>
    <row r="38" spans="1:21">
      <c r="A38" s="74" t="s">
        <v>2210</v>
      </c>
      <c r="B38" s="827"/>
      <c r="C38" s="827"/>
      <c r="D38" s="827"/>
      <c r="E38" s="827"/>
      <c r="F38" s="829"/>
      <c r="G38" s="829"/>
      <c r="H38" s="829"/>
      <c r="I38" s="829"/>
      <c r="J38" s="829">
        <f>11.89+5.88</f>
        <v>17.77</v>
      </c>
      <c r="K38" s="829"/>
      <c r="L38" s="829"/>
      <c r="M38" s="829"/>
      <c r="N38" s="829"/>
      <c r="O38" s="829"/>
      <c r="P38" s="829">
        <v>1</v>
      </c>
      <c r="Q38" s="830"/>
      <c r="R38" s="829">
        <f t="shared" ref="R38:S45" si="6">SUM(B38+D38+F38+H38+J38+L38+N38)</f>
        <v>17.77</v>
      </c>
      <c r="S38" s="829">
        <f t="shared" si="6"/>
        <v>0</v>
      </c>
      <c r="T38" s="830"/>
      <c r="U38" s="829">
        <f>SUM(R38:S38)</f>
        <v>17.77</v>
      </c>
    </row>
    <row r="39" spans="1:21">
      <c r="A39" s="74" t="s">
        <v>2211</v>
      </c>
      <c r="B39" s="827"/>
      <c r="C39" s="827"/>
      <c r="D39" s="827"/>
      <c r="E39" s="827"/>
      <c r="F39" s="829"/>
      <c r="G39" s="829"/>
      <c r="H39" s="829"/>
      <c r="I39" s="829"/>
      <c r="J39" s="829">
        <v>72.040000000000006</v>
      </c>
      <c r="K39" s="829">
        <v>335.17</v>
      </c>
      <c r="L39" s="829"/>
      <c r="M39" s="829"/>
      <c r="N39" s="829"/>
      <c r="O39" s="829"/>
      <c r="P39" s="829"/>
      <c r="Q39" s="830"/>
      <c r="R39" s="829">
        <f t="shared" si="6"/>
        <v>72.040000000000006</v>
      </c>
      <c r="S39" s="829">
        <f t="shared" si="6"/>
        <v>335.17</v>
      </c>
      <c r="T39" s="830"/>
      <c r="U39" s="829">
        <f>SUM(R39:S39)</f>
        <v>407.21000000000004</v>
      </c>
    </row>
    <row r="40" spans="1:21">
      <c r="A40" s="74" t="s">
        <v>2212</v>
      </c>
      <c r="B40" s="827"/>
      <c r="C40" s="827"/>
      <c r="D40" s="827"/>
      <c r="E40" s="827"/>
      <c r="F40" s="829"/>
      <c r="G40" s="829"/>
      <c r="H40" s="829"/>
      <c r="I40" s="829"/>
      <c r="J40" s="829"/>
      <c r="K40" s="829"/>
      <c r="L40" s="829"/>
      <c r="M40" s="829"/>
      <c r="N40" s="829"/>
      <c r="O40" s="829"/>
      <c r="P40" s="829"/>
      <c r="Q40" s="830"/>
      <c r="R40" s="829">
        <f t="shared" si="6"/>
        <v>0</v>
      </c>
      <c r="S40" s="829">
        <f t="shared" si="6"/>
        <v>0</v>
      </c>
      <c r="T40" s="830"/>
      <c r="U40" s="829">
        <f t="shared" ref="U40:U45" si="7">SUM(R40:S40)</f>
        <v>0</v>
      </c>
    </row>
    <row r="41" spans="1:21">
      <c r="A41" s="74" t="s">
        <v>2213</v>
      </c>
      <c r="B41" s="827"/>
      <c r="C41" s="827"/>
      <c r="D41" s="827"/>
      <c r="E41" s="827"/>
      <c r="F41" s="829"/>
      <c r="G41" s="829"/>
      <c r="H41" s="829"/>
      <c r="I41" s="829"/>
      <c r="J41" s="829"/>
      <c r="K41" s="829"/>
      <c r="L41" s="829"/>
      <c r="M41" s="829"/>
      <c r="N41" s="829"/>
      <c r="O41" s="829"/>
      <c r="P41" s="829"/>
      <c r="Q41" s="830"/>
      <c r="R41" s="829">
        <f t="shared" si="6"/>
        <v>0</v>
      </c>
      <c r="S41" s="829">
        <f t="shared" si="6"/>
        <v>0</v>
      </c>
      <c r="T41" s="830"/>
      <c r="U41" s="829">
        <f t="shared" si="7"/>
        <v>0</v>
      </c>
    </row>
    <row r="42" spans="1:21">
      <c r="A42" s="74" t="s">
        <v>2214</v>
      </c>
      <c r="B42" s="827"/>
      <c r="C42" s="827"/>
      <c r="D42" s="827"/>
      <c r="E42" s="827"/>
      <c r="F42" s="829"/>
      <c r="G42" s="829"/>
      <c r="H42" s="829"/>
      <c r="I42" s="829"/>
      <c r="J42" s="835">
        <v>150</v>
      </c>
      <c r="K42" s="829"/>
      <c r="L42" s="829"/>
      <c r="M42" s="829"/>
      <c r="N42" s="829"/>
      <c r="O42" s="829"/>
      <c r="P42" s="829"/>
      <c r="Q42" s="830"/>
      <c r="R42" s="829">
        <f t="shared" si="6"/>
        <v>150</v>
      </c>
      <c r="S42" s="829">
        <v>0</v>
      </c>
      <c r="T42" s="830"/>
      <c r="U42" s="829">
        <f t="shared" si="7"/>
        <v>150</v>
      </c>
    </row>
    <row r="43" spans="1:21">
      <c r="A43" s="74" t="s">
        <v>604</v>
      </c>
      <c r="B43" s="827"/>
      <c r="C43" s="827"/>
      <c r="D43" s="827"/>
      <c r="E43" s="827">
        <f>[2]Summary!$G$26</f>
        <v>4500</v>
      </c>
      <c r="F43" s="829"/>
      <c r="G43" s="829"/>
      <c r="H43" s="829"/>
      <c r="I43" s="829"/>
      <c r="J43" s="829"/>
      <c r="K43" s="829"/>
      <c r="L43" s="829"/>
      <c r="M43" s="829"/>
      <c r="N43" s="829"/>
      <c r="O43" s="829">
        <v>183.89</v>
      </c>
      <c r="P43" s="829"/>
      <c r="Q43" s="830"/>
      <c r="R43" s="829">
        <f t="shared" si="6"/>
        <v>0</v>
      </c>
      <c r="S43" s="829">
        <f>SUM(C43+G43+I43+K43+M43+O43)</f>
        <v>183.89</v>
      </c>
      <c r="T43" s="830"/>
      <c r="U43" s="829">
        <f t="shared" si="7"/>
        <v>183.89</v>
      </c>
    </row>
    <row r="44" spans="1:21">
      <c r="A44" s="832" t="s">
        <v>2215</v>
      </c>
      <c r="B44" s="833">
        <f>SUM(B38:B43)</f>
        <v>0</v>
      </c>
      <c r="C44" s="833">
        <f>SUM(C38:C43)</f>
        <v>0</v>
      </c>
      <c r="D44" s="833">
        <f>SUM(D38:D43)</f>
        <v>0</v>
      </c>
      <c r="E44" s="833">
        <v>0</v>
      </c>
      <c r="F44" s="834">
        <f>SUM(F38:F43)</f>
        <v>0</v>
      </c>
      <c r="G44" s="834">
        <f>SUM(G38:G43)</f>
        <v>0</v>
      </c>
      <c r="H44" s="834">
        <f>SUM(H38:H43)</f>
        <v>0</v>
      </c>
      <c r="I44" s="834">
        <f>SUM(I38:I43)</f>
        <v>0</v>
      </c>
      <c r="J44" s="834">
        <f>SUM(J38:J43)</f>
        <v>239.81</v>
      </c>
      <c r="K44" s="834">
        <f>SUM(K38+K39+K40+K41+K43)</f>
        <v>335.17</v>
      </c>
      <c r="L44" s="834">
        <v>0</v>
      </c>
      <c r="M44" s="834">
        <v>0</v>
      </c>
      <c r="N44" s="834">
        <f>SUM(N38:N43)</f>
        <v>0</v>
      </c>
      <c r="O44" s="834">
        <f>SUM(O38:O43)</f>
        <v>183.89</v>
      </c>
      <c r="P44" s="834">
        <f>SUM(P38:P43)</f>
        <v>1</v>
      </c>
      <c r="Q44" s="830"/>
      <c r="R44" s="829">
        <f t="shared" si="6"/>
        <v>239.81</v>
      </c>
      <c r="S44" s="829">
        <f t="shared" si="6"/>
        <v>519.05999999999995</v>
      </c>
      <c r="T44" s="830"/>
      <c r="U44" s="829">
        <f t="shared" si="7"/>
        <v>758.86999999999989</v>
      </c>
    </row>
    <row r="45" spans="1:21">
      <c r="A45" s="832" t="s">
        <v>2216</v>
      </c>
      <c r="B45" s="833">
        <v>0</v>
      </c>
      <c r="C45" s="833">
        <v>0</v>
      </c>
      <c r="D45" s="833">
        <v>0</v>
      </c>
      <c r="E45" s="833">
        <v>4500</v>
      </c>
      <c r="F45" s="834">
        <v>0</v>
      </c>
      <c r="G45" s="834">
        <v>0</v>
      </c>
      <c r="H45" s="834">
        <v>0</v>
      </c>
      <c r="I45" s="834">
        <v>0</v>
      </c>
      <c r="J45" s="834">
        <v>0</v>
      </c>
      <c r="K45" s="834">
        <v>0</v>
      </c>
      <c r="L45" s="834">
        <v>0</v>
      </c>
      <c r="M45" s="834">
        <v>0</v>
      </c>
      <c r="N45" s="834">
        <v>0</v>
      </c>
      <c r="O45" s="834">
        <v>0</v>
      </c>
      <c r="P45" s="834">
        <v>0</v>
      </c>
      <c r="Q45" s="830"/>
      <c r="R45" s="829">
        <f t="shared" si="6"/>
        <v>0</v>
      </c>
      <c r="S45" s="829">
        <f t="shared" si="6"/>
        <v>4500</v>
      </c>
      <c r="T45" s="830"/>
      <c r="U45" s="829">
        <f t="shared" si="7"/>
        <v>4500</v>
      </c>
    </row>
    <row r="46" spans="1:21">
      <c r="A46" s="74"/>
      <c r="B46" s="827"/>
      <c r="C46" s="827"/>
      <c r="D46" s="827"/>
      <c r="E46" s="827"/>
      <c r="F46" s="829"/>
      <c r="G46" s="829"/>
      <c r="H46" s="829"/>
      <c r="I46" s="829"/>
      <c r="J46" s="829"/>
      <c r="K46" s="829"/>
      <c r="L46" s="829"/>
      <c r="M46" s="829"/>
      <c r="N46" s="829"/>
      <c r="O46" s="829"/>
      <c r="P46" s="829"/>
      <c r="Q46" s="830"/>
      <c r="R46" s="829"/>
      <c r="S46" s="829"/>
      <c r="T46" s="830"/>
      <c r="U46" s="829"/>
    </row>
    <row r="47" spans="1:21">
      <c r="A47" s="832" t="s">
        <v>2217</v>
      </c>
      <c r="B47" s="833">
        <f>SUM(B17,B34,B44)</f>
        <v>1099.3605000000002</v>
      </c>
      <c r="C47" s="833">
        <f>SUM(C17,C34,C44)</f>
        <v>2290.23</v>
      </c>
      <c r="D47" s="833">
        <f>SUM(D17,D34,D44)</f>
        <v>32.656799999999997</v>
      </c>
      <c r="E47" s="833">
        <f>SUM(E17,E34,E44)</f>
        <v>19.890900000000002</v>
      </c>
      <c r="F47" s="834">
        <f t="shared" ref="F47:L47" si="8">SUM(F17,F34,F44)</f>
        <v>0</v>
      </c>
      <c r="G47" s="834">
        <f t="shared" si="8"/>
        <v>0</v>
      </c>
      <c r="H47" s="834">
        <f t="shared" si="8"/>
        <v>127.19</v>
      </c>
      <c r="I47" s="834">
        <f t="shared" si="8"/>
        <v>903.39999999999986</v>
      </c>
      <c r="J47" s="834">
        <f t="shared" si="8"/>
        <v>385.65999999999997</v>
      </c>
      <c r="K47" s="834">
        <f t="shared" si="8"/>
        <v>9195.44</v>
      </c>
      <c r="L47" s="834">
        <f t="shared" si="8"/>
        <v>8.32</v>
      </c>
      <c r="M47" s="834"/>
      <c r="N47" s="834">
        <f>SUM(N17,N34,N44)</f>
        <v>306.5</v>
      </c>
      <c r="O47" s="834">
        <f>SUM(O17,O34,O44)</f>
        <v>453.33</v>
      </c>
      <c r="P47" s="834">
        <f>SUM(P17+P34+P44)</f>
        <v>1039.21</v>
      </c>
      <c r="Q47" s="830"/>
      <c r="R47" s="836">
        <f>SUM(B47+D47+F47+H47+J47+L47+N47)</f>
        <v>1959.6873000000003</v>
      </c>
      <c r="S47" s="829">
        <f>SUM(C47+E47+G47+I47+K47+M47+O47)</f>
        <v>12862.2909</v>
      </c>
      <c r="T47" s="830"/>
      <c r="U47" s="829">
        <f>SUM(R47:S47)</f>
        <v>14821.9782</v>
      </c>
    </row>
    <row r="48" spans="1:21">
      <c r="A48" s="832" t="s">
        <v>2218</v>
      </c>
      <c r="B48" s="833">
        <f t="shared" ref="B48:J48" si="9">SUM(B35,B45)</f>
        <v>0</v>
      </c>
      <c r="C48" s="833">
        <f t="shared" si="9"/>
        <v>0</v>
      </c>
      <c r="D48" s="833">
        <f t="shared" si="9"/>
        <v>0</v>
      </c>
      <c r="E48" s="833">
        <f t="shared" si="9"/>
        <v>4500</v>
      </c>
      <c r="F48" s="834">
        <f t="shared" si="9"/>
        <v>0</v>
      </c>
      <c r="G48" s="834">
        <f t="shared" si="9"/>
        <v>0</v>
      </c>
      <c r="H48" s="834">
        <f t="shared" si="9"/>
        <v>0</v>
      </c>
      <c r="I48" s="834">
        <f t="shared" si="9"/>
        <v>1107.69</v>
      </c>
      <c r="J48" s="834">
        <f t="shared" si="9"/>
        <v>0</v>
      </c>
      <c r="K48" s="834">
        <v>0</v>
      </c>
      <c r="L48" s="834">
        <f>SUM(L35,L45)</f>
        <v>0</v>
      </c>
      <c r="M48" s="834"/>
      <c r="N48" s="834">
        <f>SUM(N35,N45)</f>
        <v>0</v>
      </c>
      <c r="O48" s="834">
        <f>SUM(O35,O45)</f>
        <v>0</v>
      </c>
      <c r="P48" s="834">
        <v>0</v>
      </c>
      <c r="Q48" s="830"/>
      <c r="R48" s="836">
        <f>SUM(B48+D48+F48+H48+J48+L48+N48)</f>
        <v>0</v>
      </c>
      <c r="S48" s="829">
        <f>SUM(C48+E48+G48+I48+K48+M48+O48)</f>
        <v>5607.6900000000005</v>
      </c>
      <c r="T48" s="830"/>
      <c r="U48" s="829">
        <f>SUM(R48:S48)</f>
        <v>5607.6900000000005</v>
      </c>
    </row>
    <row r="49" spans="1:21">
      <c r="A49" s="74"/>
      <c r="B49" s="827"/>
      <c r="C49" s="827"/>
      <c r="D49" s="827"/>
      <c r="E49" s="827"/>
      <c r="F49" s="829"/>
      <c r="G49" s="829"/>
      <c r="H49" s="829"/>
      <c r="I49" s="829"/>
      <c r="J49" s="829"/>
      <c r="K49" s="829"/>
      <c r="L49" s="829"/>
      <c r="M49" s="829"/>
      <c r="N49" s="829"/>
      <c r="O49" s="829"/>
      <c r="P49" s="829"/>
      <c r="Q49" s="830"/>
      <c r="R49" s="829"/>
      <c r="S49" s="829"/>
      <c r="T49" s="830"/>
      <c r="U49" s="829"/>
    </row>
    <row r="50" spans="1:21">
      <c r="A50" s="832" t="s">
        <v>2219</v>
      </c>
      <c r="B50" s="827"/>
      <c r="C50" s="827"/>
      <c r="D50" s="827"/>
      <c r="E50" s="827"/>
      <c r="F50" s="829"/>
      <c r="G50" s="829"/>
      <c r="H50" s="829"/>
      <c r="I50" s="829"/>
      <c r="J50" s="829"/>
      <c r="K50" s="829"/>
      <c r="L50" s="829"/>
      <c r="M50" s="829"/>
      <c r="N50" s="829"/>
      <c r="O50" s="829"/>
      <c r="P50" s="829"/>
      <c r="Q50" s="830"/>
      <c r="R50" s="829"/>
      <c r="S50" s="829"/>
      <c r="T50" s="830"/>
      <c r="U50" s="829"/>
    </row>
    <row r="51" spans="1:21">
      <c r="A51" s="74" t="s">
        <v>2220</v>
      </c>
      <c r="B51" s="833">
        <f>'[1]Total and Summary'!$I$3+'[1]Total and Summary'!$I$5+'[1]Total and Summary'!$I$6</f>
        <v>4291.55</v>
      </c>
      <c r="C51" s="827"/>
      <c r="D51" s="827"/>
      <c r="E51" s="827"/>
      <c r="F51" s="829"/>
      <c r="G51" s="829"/>
      <c r="H51" s="829"/>
      <c r="I51" s="829"/>
      <c r="J51" s="829"/>
      <c r="K51" s="829"/>
      <c r="L51" s="829"/>
      <c r="M51" s="829"/>
      <c r="N51" s="829"/>
      <c r="O51" s="829"/>
      <c r="P51" s="837"/>
      <c r="Q51" s="830"/>
      <c r="R51" s="829">
        <f>SUM(B51+D51+F51+H51+J51+L51+N51)</f>
        <v>4291.55</v>
      </c>
      <c r="S51" s="829"/>
      <c r="T51" s="830"/>
      <c r="U51" s="829">
        <f>SUM(R51:S51)</f>
        <v>4291.55</v>
      </c>
    </row>
    <row r="52" spans="1:21">
      <c r="A52" s="74" t="s">
        <v>56</v>
      </c>
      <c r="B52" s="838"/>
      <c r="C52" s="827"/>
      <c r="D52" s="827"/>
      <c r="E52" s="827"/>
      <c r="F52" s="829"/>
      <c r="G52" s="829"/>
      <c r="H52" s="833">
        <f>8.5+150+36+11.69+96.59</f>
        <v>302.77999999999997</v>
      </c>
      <c r="I52" s="829"/>
      <c r="J52" s="834">
        <f xml:space="preserve"> 6148.28+0.66+217.67+12+33.25+777.26+5.68+35.75</f>
        <v>7230.55</v>
      </c>
      <c r="K52" s="829"/>
      <c r="L52" s="833">
        <f>12470.4+6.04+29+4</f>
        <v>12509.44</v>
      </c>
      <c r="M52" s="829"/>
      <c r="N52" s="829"/>
      <c r="O52" s="833"/>
      <c r="P52" s="837">
        <v>1020</v>
      </c>
      <c r="Q52" s="830"/>
      <c r="R52" s="829">
        <f>SUM(B52+D52+F52+H52+J52+L52+N52)</f>
        <v>20042.77</v>
      </c>
      <c r="S52" s="829"/>
      <c r="T52" s="830"/>
      <c r="U52" s="829">
        <f>SUM(R52:S52)</f>
        <v>20042.77</v>
      </c>
    </row>
    <row r="53" spans="1:21">
      <c r="A53" s="74" t="s">
        <v>2222</v>
      </c>
      <c r="B53" s="827"/>
      <c r="C53" s="827"/>
      <c r="D53" s="833">
        <f>'[2]PW Trash'!$B$30</f>
        <v>59.600000000000009</v>
      </c>
      <c r="F53" s="829"/>
      <c r="G53" s="829"/>
      <c r="H53" s="829"/>
      <c r="I53" s="829"/>
      <c r="J53" s="833">
        <v>304</v>
      </c>
      <c r="K53" s="829"/>
      <c r="L53" s="829"/>
      <c r="M53" s="829"/>
      <c r="N53" s="829"/>
      <c r="O53" s="829"/>
      <c r="P53" s="829"/>
      <c r="Q53" s="830"/>
      <c r="R53" s="829">
        <f>SUM(B53+D53+F53+H53+J53+L53+N53)</f>
        <v>363.6</v>
      </c>
      <c r="S53" s="829"/>
      <c r="T53" s="830"/>
      <c r="U53" s="829">
        <f>SUM(R53:S53)</f>
        <v>363.6</v>
      </c>
    </row>
    <row r="54" spans="1:21">
      <c r="A54" s="74" t="s">
        <v>604</v>
      </c>
      <c r="B54" s="827"/>
      <c r="C54" s="827"/>
      <c r="D54" s="838">
        <f>'[1]St Sweeper'!$B$28</f>
        <v>116.46</v>
      </c>
      <c r="E54" s="827"/>
      <c r="F54" s="829"/>
      <c r="G54" s="829"/>
      <c r="H54" s="829"/>
      <c r="I54" s="829"/>
      <c r="J54" s="829"/>
      <c r="K54" s="829"/>
      <c r="L54" s="829"/>
      <c r="M54" s="829"/>
      <c r="N54" s="834">
        <v>219.67</v>
      </c>
      <c r="O54" s="829"/>
      <c r="P54" s="833"/>
      <c r="Q54" s="830"/>
      <c r="R54" s="829">
        <f>D54</f>
        <v>116.46</v>
      </c>
      <c r="S54" s="829">
        <f>SUM(C54,E54,G54,I54,K54,M54,O54)</f>
        <v>0</v>
      </c>
      <c r="T54" s="830"/>
      <c r="U54" s="829">
        <f>SUM(R54:S54)</f>
        <v>116.46</v>
      </c>
    </row>
    <row r="56" spans="1:21">
      <c r="Q56" s="839"/>
    </row>
  </sheetData>
  <mergeCells count="8">
    <mergeCell ref="N3:O3"/>
    <mergeCell ref="R3:S3"/>
    <mergeCell ref="B3:C3"/>
    <mergeCell ref="D3:E3"/>
    <mergeCell ref="F3:G3"/>
    <mergeCell ref="H3:I3"/>
    <mergeCell ref="J3:K3"/>
    <mergeCell ref="L3:M3"/>
  </mergeCells>
  <pageMargins left="0.7" right="0.7" top="0.75" bottom="0.75" header="0.3" footer="0.3"/>
  <legacyDrawing r:id="rId1"/>
</worksheet>
</file>

<file path=xl/worksheets/sheet54.xml><?xml version="1.0" encoding="utf-8"?>
<worksheet xmlns="http://schemas.openxmlformats.org/spreadsheetml/2006/main" xmlns:r="http://schemas.openxmlformats.org/officeDocument/2006/relationships">
  <dimension ref="A1:U54"/>
  <sheetViews>
    <sheetView workbookViewId="0">
      <selection sqref="A1:XFD2"/>
    </sheetView>
  </sheetViews>
  <sheetFormatPr defaultRowHeight="15"/>
  <cols>
    <col min="1" max="1" width="27.140625" style="697" customWidth="1"/>
    <col min="2" max="2" width="12.140625" style="697" customWidth="1"/>
    <col min="3" max="3" width="10.5703125" style="697" customWidth="1"/>
    <col min="4" max="4" width="9" style="697" customWidth="1"/>
    <col min="5" max="5" width="7.7109375" style="697" customWidth="1"/>
    <col min="6" max="6" width="10.140625" style="697" customWidth="1"/>
    <col min="7" max="7" width="7.7109375" style="697" customWidth="1"/>
    <col min="8" max="8" width="8.7109375" style="697" customWidth="1"/>
    <col min="9" max="9" width="8.5703125" style="697" customWidth="1"/>
    <col min="10" max="10" width="9" style="697" customWidth="1"/>
    <col min="11" max="11" width="9.42578125" style="697" customWidth="1"/>
    <col min="12" max="12" width="10.42578125" style="697" customWidth="1"/>
    <col min="13" max="13" width="9.5703125" style="697" customWidth="1"/>
    <col min="14" max="14" width="9.7109375" style="697" customWidth="1"/>
    <col min="15" max="15" width="8.5703125" style="697" customWidth="1"/>
    <col min="16" max="16" width="11.7109375" style="697" customWidth="1"/>
    <col min="17" max="17" width="3.5703125" style="840" customWidth="1"/>
    <col min="18" max="18" width="9.7109375" style="697" customWidth="1"/>
    <col min="19" max="19" width="9.140625" style="697"/>
    <col min="20" max="20" width="3.85546875" style="840" customWidth="1"/>
    <col min="21" max="21" width="24.140625" style="697" bestFit="1" customWidth="1"/>
    <col min="22" max="16384" width="9.140625" style="697"/>
  </cols>
  <sheetData>
    <row r="1" spans="1:21">
      <c r="A1" s="882" t="s">
        <v>2265</v>
      </c>
      <c r="B1" s="73"/>
      <c r="C1" s="73"/>
      <c r="D1" s="883"/>
      <c r="Q1" s="697"/>
      <c r="T1" s="697"/>
    </row>
    <row r="2" spans="1:21">
      <c r="Q2" s="697"/>
      <c r="T2" s="697"/>
    </row>
    <row r="3" spans="1:21">
      <c r="A3" s="832">
        <v>2010</v>
      </c>
      <c r="B3" s="1214" t="s">
        <v>893</v>
      </c>
      <c r="C3" s="1214"/>
      <c r="D3" s="1214" t="s">
        <v>2172</v>
      </c>
      <c r="E3" s="1214"/>
      <c r="F3" s="1214" t="s">
        <v>2173</v>
      </c>
      <c r="G3" s="1214"/>
      <c r="H3" s="1214" t="s">
        <v>2174</v>
      </c>
      <c r="I3" s="1214"/>
      <c r="J3" s="1214" t="s">
        <v>2175</v>
      </c>
      <c r="K3" s="1214"/>
      <c r="L3" s="1214" t="s">
        <v>2176</v>
      </c>
      <c r="M3" s="1214"/>
      <c r="N3" s="1214" t="s">
        <v>2177</v>
      </c>
      <c r="O3" s="1214"/>
      <c r="P3" s="841"/>
      <c r="Q3" s="842"/>
      <c r="R3" s="1214" t="s">
        <v>2178</v>
      </c>
      <c r="S3" s="1215"/>
      <c r="T3" s="843"/>
      <c r="U3" s="841" t="s">
        <v>2179</v>
      </c>
    </row>
    <row r="4" spans="1:21" s="698" customFormat="1">
      <c r="A4" s="844"/>
      <c r="B4" s="841" t="s">
        <v>2180</v>
      </c>
      <c r="C4" s="841" t="s">
        <v>604</v>
      </c>
      <c r="D4" s="841" t="s">
        <v>2180</v>
      </c>
      <c r="E4" s="841" t="s">
        <v>604</v>
      </c>
      <c r="F4" s="841" t="s">
        <v>2180</v>
      </c>
      <c r="G4" s="841" t="s">
        <v>604</v>
      </c>
      <c r="H4" s="841" t="s">
        <v>2180</v>
      </c>
      <c r="I4" s="841" t="s">
        <v>604</v>
      </c>
      <c r="J4" s="841" t="s">
        <v>2180</v>
      </c>
      <c r="K4" s="841" t="s">
        <v>604</v>
      </c>
      <c r="L4" s="841" t="s">
        <v>2180</v>
      </c>
      <c r="M4" s="841" t="s">
        <v>604</v>
      </c>
      <c r="N4" s="841" t="s">
        <v>2180</v>
      </c>
      <c r="O4" s="841" t="s">
        <v>604</v>
      </c>
      <c r="P4" s="841" t="s">
        <v>2181</v>
      </c>
      <c r="Q4" s="842"/>
      <c r="R4" s="841" t="s">
        <v>2180</v>
      </c>
      <c r="S4" s="841" t="s">
        <v>604</v>
      </c>
      <c r="T4" s="845"/>
      <c r="U4" s="844"/>
    </row>
    <row r="5" spans="1:21">
      <c r="A5" s="832" t="s">
        <v>2182</v>
      </c>
      <c r="B5" s="227"/>
      <c r="C5" s="227"/>
      <c r="D5" s="227"/>
      <c r="E5" s="227"/>
      <c r="F5" s="829"/>
      <c r="G5" s="829"/>
      <c r="H5" s="829"/>
      <c r="I5" s="829"/>
      <c r="J5" s="829"/>
      <c r="K5" s="829"/>
      <c r="L5" s="829"/>
      <c r="M5" s="829"/>
      <c r="N5" s="829"/>
      <c r="O5" s="829"/>
      <c r="P5" s="829"/>
      <c r="Q5" s="830"/>
      <c r="R5" s="829"/>
      <c r="S5" s="829"/>
      <c r="T5" s="830"/>
      <c r="U5" s="829"/>
    </row>
    <row r="6" spans="1:21">
      <c r="A6" s="74" t="s">
        <v>2183</v>
      </c>
      <c r="B6" s="827">
        <v>551.6</v>
      </c>
      <c r="C6" s="827"/>
      <c r="D6" s="827">
        <v>0.3</v>
      </c>
      <c r="E6" s="827"/>
      <c r="F6" s="829"/>
      <c r="G6" s="829"/>
      <c r="H6" s="829">
        <f>52+4.5</f>
        <v>56.5</v>
      </c>
      <c r="I6" s="829">
        <f>1+312.18+541.5+60+1</f>
        <v>915.68000000000006</v>
      </c>
      <c r="J6" s="829">
        <f>6.6+27.5+2</f>
        <v>36.1</v>
      </c>
      <c r="K6" s="829">
        <f>17.45+283.44</f>
        <v>300.89</v>
      </c>
      <c r="L6" s="829"/>
      <c r="M6" s="829"/>
      <c r="N6" s="829">
        <f>157.85+70.1</f>
        <v>227.95</v>
      </c>
      <c r="O6" s="829"/>
      <c r="P6" s="829">
        <v>797.5</v>
      </c>
      <c r="Q6" s="830"/>
      <c r="R6" s="829">
        <f t="shared" ref="R6:R17" si="0">SUM(B6+D6+F6+H6+J6+L6+N6)</f>
        <v>872.45</v>
      </c>
      <c r="S6" s="829">
        <f t="shared" ref="S6:S17" si="1">SUM(C6+E6+G6+I6+K6+M6+O6)</f>
        <v>1216.5700000000002</v>
      </c>
      <c r="T6" s="830"/>
      <c r="U6" s="829">
        <f>SUM(R6:S6)</f>
        <v>2089.0200000000004</v>
      </c>
    </row>
    <row r="7" spans="1:21">
      <c r="A7" s="74" t="s">
        <v>2184</v>
      </c>
      <c r="B7" s="827">
        <v>0.7</v>
      </c>
      <c r="C7" s="827"/>
      <c r="D7" s="827">
        <v>7.92</v>
      </c>
      <c r="E7" s="827">
        <v>39.07</v>
      </c>
      <c r="F7" s="829"/>
      <c r="G7" s="829"/>
      <c r="H7" s="829">
        <v>5.9</v>
      </c>
      <c r="I7" s="829">
        <f>0.5+5</f>
        <v>5.5</v>
      </c>
      <c r="J7" s="835"/>
      <c r="K7" s="827">
        <f>1962+4024.4+0.06+30.5+18.8+13.77</f>
        <v>6049.5300000000007</v>
      </c>
      <c r="L7" s="829"/>
      <c r="M7" s="829">
        <f>19+3+0.11+1.93+1.84+0.92</f>
        <v>26.8</v>
      </c>
      <c r="N7" s="829"/>
      <c r="O7" s="829"/>
      <c r="P7" s="829">
        <v>0.5</v>
      </c>
      <c r="Q7" s="830"/>
      <c r="R7" s="829">
        <f t="shared" si="0"/>
        <v>14.52</v>
      </c>
      <c r="S7" s="829">
        <f t="shared" si="1"/>
        <v>6120.9000000000005</v>
      </c>
      <c r="T7" s="830"/>
      <c r="U7" s="829">
        <f>SUM(R7:S7)</f>
        <v>6135.420000000001</v>
      </c>
    </row>
    <row r="8" spans="1:21">
      <c r="A8" s="74" t="s">
        <v>2185</v>
      </c>
      <c r="B8" s="827"/>
      <c r="C8" s="827"/>
      <c r="D8" s="827"/>
      <c r="E8" s="827"/>
      <c r="F8" s="829"/>
      <c r="G8" s="829"/>
      <c r="H8" s="829"/>
      <c r="I8" s="829">
        <f>10.68+13.59</f>
        <v>24.27</v>
      </c>
      <c r="J8" s="829"/>
      <c r="K8" s="829">
        <v>3.2</v>
      </c>
      <c r="L8" s="829"/>
      <c r="M8" s="829"/>
      <c r="N8" s="829"/>
      <c r="O8" s="829"/>
      <c r="P8" s="829"/>
      <c r="Q8" s="830"/>
      <c r="R8" s="829">
        <f t="shared" si="0"/>
        <v>0</v>
      </c>
      <c r="S8" s="829">
        <f t="shared" si="1"/>
        <v>27.47</v>
      </c>
      <c r="T8" s="830"/>
      <c r="U8" s="829">
        <f>SUM(R8:S8)</f>
        <v>27.47</v>
      </c>
    </row>
    <row r="9" spans="1:21">
      <c r="A9" s="74" t="s">
        <v>2186</v>
      </c>
      <c r="B9" s="827"/>
      <c r="C9" s="827"/>
      <c r="D9" s="827"/>
      <c r="E9" s="827"/>
      <c r="F9" s="829"/>
      <c r="G9" s="829"/>
      <c r="H9" s="829"/>
      <c r="I9" s="829"/>
      <c r="J9" s="829"/>
      <c r="K9" s="829"/>
      <c r="L9" s="829"/>
      <c r="M9" s="829"/>
      <c r="N9" s="829"/>
      <c r="O9" s="829"/>
      <c r="P9" s="829"/>
      <c r="Q9" s="830"/>
      <c r="R9" s="829">
        <f t="shared" si="0"/>
        <v>0</v>
      </c>
      <c r="S9" s="829">
        <f t="shared" si="1"/>
        <v>0</v>
      </c>
      <c r="T9" s="830"/>
      <c r="U9" s="829">
        <f t="shared" ref="U9:U17" si="2">SUM(R9:S9)</f>
        <v>0</v>
      </c>
    </row>
    <row r="10" spans="1:21">
      <c r="A10" s="74" t="s">
        <v>2225</v>
      </c>
      <c r="B10" s="827">
        <v>451.89</v>
      </c>
      <c r="C10" s="827"/>
      <c r="D10" s="827"/>
      <c r="E10" s="827"/>
      <c r="F10" s="829"/>
      <c r="G10" s="829"/>
      <c r="H10" s="829"/>
      <c r="I10" s="829"/>
      <c r="J10" s="827"/>
      <c r="K10" s="827"/>
      <c r="L10" s="829"/>
      <c r="M10" s="829">
        <v>4</v>
      </c>
      <c r="N10" s="829">
        <v>183.8</v>
      </c>
      <c r="O10" s="829"/>
      <c r="P10" s="829">
        <v>454</v>
      </c>
      <c r="Q10" s="830"/>
      <c r="R10" s="829">
        <f t="shared" si="0"/>
        <v>635.69000000000005</v>
      </c>
      <c r="S10" s="829">
        <f t="shared" si="1"/>
        <v>4</v>
      </c>
      <c r="T10" s="830"/>
      <c r="U10" s="829">
        <f t="shared" si="2"/>
        <v>639.69000000000005</v>
      </c>
    </row>
    <row r="11" spans="1:21">
      <c r="A11" s="74" t="s">
        <v>2188</v>
      </c>
      <c r="B11" s="827"/>
      <c r="C11" s="827">
        <v>917.43</v>
      </c>
      <c r="D11" s="827"/>
      <c r="E11" s="827"/>
      <c r="F11" s="829"/>
      <c r="G11" s="829"/>
      <c r="H11" s="829"/>
      <c r="I11" s="829">
        <v>1</v>
      </c>
      <c r="J11" s="829"/>
      <c r="K11" s="829"/>
      <c r="L11" s="829"/>
      <c r="M11" s="829"/>
      <c r="N11" s="829"/>
      <c r="O11" s="829"/>
      <c r="P11" s="829"/>
      <c r="Q11" s="830"/>
      <c r="R11" s="829">
        <f t="shared" si="0"/>
        <v>0</v>
      </c>
      <c r="S11" s="829">
        <f t="shared" si="1"/>
        <v>918.43</v>
      </c>
      <c r="T11" s="830"/>
      <c r="U11" s="829">
        <f t="shared" si="2"/>
        <v>918.43</v>
      </c>
    </row>
    <row r="12" spans="1:21">
      <c r="A12" s="74" t="s">
        <v>2189</v>
      </c>
      <c r="B12" s="827"/>
      <c r="C12" s="828">
        <v>1602.29</v>
      </c>
      <c r="D12" s="827"/>
      <c r="E12" s="827"/>
      <c r="F12" s="829"/>
      <c r="G12" s="829"/>
      <c r="H12" s="829">
        <v>0.31</v>
      </c>
      <c r="I12" s="829"/>
      <c r="J12" s="829">
        <v>139.07</v>
      </c>
      <c r="K12" s="829">
        <f>4+135.68</f>
        <v>139.68</v>
      </c>
      <c r="L12" s="829"/>
      <c r="M12" s="829"/>
      <c r="N12" s="829"/>
      <c r="O12" s="829"/>
      <c r="P12" s="829">
        <v>0.5</v>
      </c>
      <c r="Q12" s="830"/>
      <c r="R12" s="829">
        <f t="shared" si="0"/>
        <v>139.38</v>
      </c>
      <c r="S12" s="829">
        <f t="shared" si="1"/>
        <v>1741.97</v>
      </c>
      <c r="T12" s="830"/>
      <c r="U12" s="829">
        <f t="shared" si="2"/>
        <v>1881.35</v>
      </c>
    </row>
    <row r="13" spans="1:21">
      <c r="A13" s="74" t="s">
        <v>2190</v>
      </c>
      <c r="B13" s="827"/>
      <c r="C13" s="827"/>
      <c r="D13" s="827"/>
      <c r="E13" s="827"/>
      <c r="F13" s="829"/>
      <c r="G13" s="829"/>
      <c r="H13" s="829"/>
      <c r="I13" s="829">
        <v>100</v>
      </c>
      <c r="J13" s="829"/>
      <c r="K13" s="827">
        <v>18.079999999999998</v>
      </c>
      <c r="L13" s="829"/>
      <c r="M13" s="829"/>
      <c r="N13" s="829"/>
      <c r="O13" s="829"/>
      <c r="P13" s="829"/>
      <c r="Q13" s="830"/>
      <c r="R13" s="829">
        <f t="shared" si="0"/>
        <v>0</v>
      </c>
      <c r="S13" s="829">
        <f t="shared" si="1"/>
        <v>118.08</v>
      </c>
      <c r="T13" s="830"/>
      <c r="U13" s="829">
        <f t="shared" si="2"/>
        <v>118.08</v>
      </c>
    </row>
    <row r="14" spans="1:21">
      <c r="A14" s="74" t="s">
        <v>2191</v>
      </c>
      <c r="B14" s="827"/>
      <c r="C14" s="827"/>
      <c r="D14" s="827"/>
      <c r="E14" s="827"/>
      <c r="F14" s="829"/>
      <c r="G14" s="829"/>
      <c r="H14" s="829"/>
      <c r="I14" s="829"/>
      <c r="J14" s="829"/>
      <c r="K14" s="829"/>
      <c r="L14" s="829"/>
      <c r="M14" s="829"/>
      <c r="N14" s="829"/>
      <c r="O14" s="829"/>
      <c r="P14" s="829"/>
      <c r="Q14" s="830"/>
      <c r="R14" s="829">
        <f t="shared" si="0"/>
        <v>0</v>
      </c>
      <c r="S14" s="829">
        <f t="shared" si="1"/>
        <v>0</v>
      </c>
      <c r="T14" s="830"/>
      <c r="U14" s="829">
        <f t="shared" si="2"/>
        <v>0</v>
      </c>
    </row>
    <row r="15" spans="1:21">
      <c r="A15" s="74" t="s">
        <v>604</v>
      </c>
      <c r="B15" s="827"/>
      <c r="C15" s="827"/>
      <c r="D15" s="827"/>
      <c r="E15" s="831">
        <v>0.25</v>
      </c>
      <c r="F15" s="829"/>
      <c r="G15" s="829"/>
      <c r="H15" s="829"/>
      <c r="I15" s="662">
        <v>16</v>
      </c>
      <c r="J15" s="829"/>
      <c r="K15" s="829">
        <v>14.96</v>
      </c>
      <c r="L15" s="829"/>
      <c r="M15" s="829">
        <v>23</v>
      </c>
      <c r="N15" s="829"/>
      <c r="O15" s="829"/>
      <c r="P15" s="829"/>
      <c r="Q15" s="830"/>
      <c r="R15" s="829">
        <f t="shared" si="0"/>
        <v>0</v>
      </c>
      <c r="S15" s="829">
        <f>SUM(C15+E15+G15+I15+K15+M15+O15)</f>
        <v>54.21</v>
      </c>
      <c r="T15" s="830"/>
      <c r="U15" s="829">
        <f t="shared" si="2"/>
        <v>54.21</v>
      </c>
    </row>
    <row r="16" spans="1:21">
      <c r="A16" s="832" t="s">
        <v>2223</v>
      </c>
      <c r="B16" s="827"/>
      <c r="C16" s="827"/>
      <c r="D16" s="827"/>
      <c r="E16" s="828"/>
      <c r="F16" s="829"/>
      <c r="G16" s="829"/>
      <c r="H16" s="829"/>
      <c r="I16" s="829">
        <f>18.19+95</f>
        <v>113.19</v>
      </c>
      <c r="J16" s="829"/>
      <c r="K16" s="829">
        <v>8.73</v>
      </c>
      <c r="L16" s="829"/>
      <c r="M16" s="829"/>
      <c r="N16" s="829"/>
      <c r="O16" s="829"/>
      <c r="P16" s="829"/>
      <c r="Q16" s="830"/>
      <c r="R16" s="829"/>
      <c r="S16" s="829">
        <f>SUM(C16+E16+G16+I16+K16+M16+O16)</f>
        <v>121.92</v>
      </c>
      <c r="T16" s="830"/>
      <c r="U16" s="829"/>
    </row>
    <row r="17" spans="1:21">
      <c r="A17" s="832" t="s">
        <v>2192</v>
      </c>
      <c r="B17" s="833">
        <f>SUM(B6:B16)</f>
        <v>1004.19</v>
      </c>
      <c r="C17" s="833">
        <f>SUM(C6:C16)</f>
        <v>2519.7199999999998</v>
      </c>
      <c r="D17" s="833">
        <f>SUM(D6:D16)</f>
        <v>8.2200000000000006</v>
      </c>
      <c r="E17" s="833">
        <f>SUM(E6:E16)</f>
        <v>39.32</v>
      </c>
      <c r="F17" s="834">
        <f>SUM(F6:F14)</f>
        <v>0</v>
      </c>
      <c r="G17" s="834">
        <f>SUM(G6:G14)</f>
        <v>0</v>
      </c>
      <c r="H17" s="834">
        <f>SUM(H6:H14)</f>
        <v>62.71</v>
      </c>
      <c r="I17" s="834">
        <f t="shared" ref="I17:P17" si="3">SUM(I6:I16)</f>
        <v>1175.6400000000001</v>
      </c>
      <c r="J17" s="834">
        <f t="shared" si="3"/>
        <v>175.17</v>
      </c>
      <c r="K17" s="834">
        <f t="shared" si="3"/>
        <v>6535.0700000000006</v>
      </c>
      <c r="L17" s="834">
        <f t="shared" si="3"/>
        <v>0</v>
      </c>
      <c r="M17" s="834">
        <f t="shared" si="3"/>
        <v>53.8</v>
      </c>
      <c r="N17" s="834">
        <f t="shared" si="3"/>
        <v>411.75</v>
      </c>
      <c r="O17" s="834">
        <f t="shared" si="3"/>
        <v>0</v>
      </c>
      <c r="P17" s="834">
        <f t="shared" si="3"/>
        <v>1252.5</v>
      </c>
      <c r="Q17" s="830"/>
      <c r="R17" s="829">
        <f t="shared" si="0"/>
        <v>1662.0400000000002</v>
      </c>
      <c r="S17" s="829">
        <f t="shared" si="1"/>
        <v>10323.549999999999</v>
      </c>
      <c r="T17" s="830"/>
      <c r="U17" s="829">
        <f t="shared" si="2"/>
        <v>11985.59</v>
      </c>
    </row>
    <row r="18" spans="1:21">
      <c r="A18" s="74"/>
      <c r="B18" s="827"/>
      <c r="C18" s="827"/>
      <c r="D18" s="827"/>
      <c r="E18" s="827"/>
      <c r="F18" s="829"/>
      <c r="G18" s="829"/>
      <c r="H18" s="829"/>
      <c r="I18" s="829"/>
      <c r="J18" s="829"/>
      <c r="K18" s="829"/>
      <c r="L18" s="829"/>
      <c r="M18" s="829"/>
      <c r="N18" s="829"/>
      <c r="O18" s="829"/>
      <c r="P18" s="829"/>
      <c r="Q18" s="830"/>
      <c r="R18" s="829"/>
      <c r="S18" s="829"/>
      <c r="T18" s="830"/>
      <c r="U18" s="829"/>
    </row>
    <row r="19" spans="1:21">
      <c r="A19" s="832" t="s">
        <v>2193</v>
      </c>
      <c r="B19" s="827"/>
      <c r="C19" s="827"/>
      <c r="D19" s="827"/>
      <c r="E19" s="827"/>
      <c r="F19" s="829"/>
      <c r="G19" s="829"/>
      <c r="H19" s="829"/>
      <c r="I19" s="829"/>
      <c r="J19" s="829"/>
      <c r="K19" s="829"/>
      <c r="L19" s="829"/>
      <c r="M19" s="829"/>
      <c r="N19" s="829"/>
      <c r="O19" s="829"/>
      <c r="P19" s="829"/>
      <c r="Q19" s="830"/>
      <c r="R19" s="829"/>
      <c r="S19" s="829"/>
      <c r="T19" s="830"/>
      <c r="U19" s="829"/>
    </row>
    <row r="20" spans="1:21">
      <c r="A20" s="74" t="s">
        <v>2194</v>
      </c>
      <c r="B20" s="827">
        <v>1.43</v>
      </c>
      <c r="C20" s="827"/>
      <c r="D20" s="827">
        <v>6.57</v>
      </c>
      <c r="E20" s="827"/>
      <c r="F20" s="829"/>
      <c r="G20" s="829"/>
      <c r="H20" s="829"/>
      <c r="I20" s="829"/>
      <c r="J20" s="829"/>
      <c r="K20" s="829">
        <v>2.1</v>
      </c>
      <c r="L20" s="829">
        <f>8.5+1.13</f>
        <v>9.629999999999999</v>
      </c>
      <c r="M20" s="829">
        <f>21+2.18+2.8</f>
        <v>25.98</v>
      </c>
      <c r="N20" s="829"/>
      <c r="O20" s="829"/>
      <c r="P20" s="829">
        <v>0.96</v>
      </c>
      <c r="Q20" s="830"/>
      <c r="R20" s="829">
        <f t="shared" ref="R20:S35" si="4">SUM(B20+D20+F20+H20+J20+L20+N20)</f>
        <v>17.63</v>
      </c>
      <c r="S20" s="829">
        <f t="shared" si="4"/>
        <v>28.080000000000002</v>
      </c>
      <c r="T20" s="830"/>
      <c r="U20" s="829">
        <f>SUM(R20:S20)</f>
        <v>45.71</v>
      </c>
    </row>
    <row r="21" spans="1:21">
      <c r="A21" s="74" t="s">
        <v>2195</v>
      </c>
      <c r="B21" s="827"/>
      <c r="C21" s="827"/>
      <c r="D21" s="827"/>
      <c r="E21" s="827">
        <v>4.75</v>
      </c>
      <c r="F21" s="829"/>
      <c r="G21" s="829"/>
      <c r="H21" s="829"/>
      <c r="I21" s="829">
        <v>1.1299999999999999</v>
      </c>
      <c r="J21" s="829"/>
      <c r="K21" s="829">
        <f>22.04+3.26+0.03</f>
        <v>25.33</v>
      </c>
      <c r="L21" s="829"/>
      <c r="M21" s="829">
        <f>28.12+2.9+6.4+0.07+40.21+1.16+0.08+18.5+0.04</f>
        <v>97.48</v>
      </c>
      <c r="N21" s="829"/>
      <c r="O21" s="829"/>
      <c r="P21" s="829"/>
      <c r="Q21" s="830"/>
      <c r="R21" s="829">
        <f t="shared" si="4"/>
        <v>0</v>
      </c>
      <c r="S21" s="829">
        <f t="shared" si="4"/>
        <v>128.69</v>
      </c>
      <c r="T21" s="830"/>
      <c r="U21" s="829">
        <f>SUM(R21:S21)</f>
        <v>128.69</v>
      </c>
    </row>
    <row r="22" spans="1:21">
      <c r="A22" s="74" t="s">
        <v>2224</v>
      </c>
      <c r="B22" s="827"/>
      <c r="C22" s="827"/>
      <c r="D22" s="827"/>
      <c r="E22" s="827"/>
      <c r="F22" s="829"/>
      <c r="G22" s="829"/>
      <c r="H22" s="829"/>
      <c r="I22" s="829"/>
      <c r="J22" s="829"/>
      <c r="K22" s="829"/>
      <c r="L22" s="829"/>
      <c r="M22" s="827">
        <v>2</v>
      </c>
      <c r="N22" s="827"/>
      <c r="O22" s="829"/>
      <c r="P22" s="829"/>
      <c r="Q22" s="830"/>
      <c r="R22" s="829">
        <f t="shared" si="4"/>
        <v>0</v>
      </c>
      <c r="S22" s="829">
        <f t="shared" si="4"/>
        <v>2</v>
      </c>
      <c r="T22" s="830"/>
      <c r="U22" s="829">
        <f t="shared" ref="U22:U35" si="5">SUM(R22:S22)</f>
        <v>2</v>
      </c>
    </row>
    <row r="23" spans="1:21">
      <c r="A23" s="74" t="s">
        <v>2197</v>
      </c>
      <c r="B23" s="827"/>
      <c r="C23" s="827"/>
      <c r="D23" s="827"/>
      <c r="E23" s="827"/>
      <c r="F23" s="829"/>
      <c r="G23" s="829"/>
      <c r="H23" s="829"/>
      <c r="I23" s="829"/>
      <c r="J23" s="829"/>
      <c r="K23" s="827"/>
      <c r="L23" s="829"/>
      <c r="M23" s="829">
        <f>6.32+0.86+0.93+3.95+0.84</f>
        <v>12.900000000000002</v>
      </c>
      <c r="N23" s="829"/>
      <c r="O23" s="829"/>
      <c r="P23" s="829"/>
      <c r="Q23" s="830"/>
      <c r="R23" s="829">
        <f t="shared" si="4"/>
        <v>0</v>
      </c>
      <c r="S23" s="829">
        <f t="shared" si="4"/>
        <v>12.900000000000002</v>
      </c>
      <c r="T23" s="830"/>
      <c r="U23" s="829">
        <f t="shared" si="5"/>
        <v>12.900000000000002</v>
      </c>
    </row>
    <row r="24" spans="1:21">
      <c r="A24" s="74" t="s">
        <v>2198</v>
      </c>
      <c r="B24" s="827"/>
      <c r="C24" s="827"/>
      <c r="D24" s="827"/>
      <c r="E24" s="827"/>
      <c r="F24" s="829"/>
      <c r="G24" s="829"/>
      <c r="H24" s="829"/>
      <c r="I24" s="829"/>
      <c r="J24" s="829"/>
      <c r="K24" s="829"/>
      <c r="L24" s="829"/>
      <c r="M24" s="827">
        <f>4.02+0.18+8.18+3.65</f>
        <v>16.029999999999998</v>
      </c>
      <c r="N24" s="829"/>
      <c r="O24" s="829"/>
      <c r="P24" s="829"/>
      <c r="Q24" s="830"/>
      <c r="R24" s="829">
        <f t="shared" si="4"/>
        <v>0</v>
      </c>
      <c r="S24" s="829">
        <f t="shared" si="4"/>
        <v>16.029999999999998</v>
      </c>
      <c r="T24" s="830"/>
      <c r="U24" s="829">
        <f t="shared" si="5"/>
        <v>16.029999999999998</v>
      </c>
    </row>
    <row r="25" spans="1:21">
      <c r="A25" s="74" t="s">
        <v>2199</v>
      </c>
      <c r="B25" s="827"/>
      <c r="C25" s="827"/>
      <c r="D25" s="827"/>
      <c r="E25" s="827">
        <v>0.2</v>
      </c>
      <c r="F25" s="829"/>
      <c r="G25" s="829"/>
      <c r="H25" s="829"/>
      <c r="I25" s="829"/>
      <c r="J25" s="829"/>
      <c r="K25" s="829"/>
      <c r="L25" s="829"/>
      <c r="M25" s="829"/>
      <c r="N25" s="829"/>
      <c r="O25" s="829"/>
      <c r="P25" s="829"/>
      <c r="Q25" s="830"/>
      <c r="R25" s="829">
        <f t="shared" si="4"/>
        <v>0</v>
      </c>
      <c r="S25" s="829">
        <f t="shared" si="4"/>
        <v>0.2</v>
      </c>
      <c r="T25" s="830"/>
      <c r="U25" s="829">
        <f t="shared" si="5"/>
        <v>0.2</v>
      </c>
    </row>
    <row r="26" spans="1:21">
      <c r="A26" s="74" t="s">
        <v>2200</v>
      </c>
      <c r="B26" s="827"/>
      <c r="C26" s="827"/>
      <c r="D26" s="827"/>
      <c r="E26" s="827"/>
      <c r="F26" s="829"/>
      <c r="G26" s="829"/>
      <c r="H26" s="829"/>
      <c r="I26" s="829"/>
      <c r="J26" s="829"/>
      <c r="K26" s="829"/>
      <c r="L26" s="829"/>
      <c r="M26" s="829">
        <f>8+25</f>
        <v>33</v>
      </c>
      <c r="N26" s="829"/>
      <c r="O26" s="829"/>
      <c r="P26" s="829"/>
      <c r="Q26" s="830"/>
      <c r="R26" s="829">
        <f t="shared" si="4"/>
        <v>0</v>
      </c>
      <c r="S26" s="829">
        <f t="shared" si="4"/>
        <v>33</v>
      </c>
      <c r="T26" s="830"/>
      <c r="U26" s="829">
        <f t="shared" si="5"/>
        <v>33</v>
      </c>
    </row>
    <row r="27" spans="1:21">
      <c r="A27" s="74" t="s">
        <v>2201</v>
      </c>
      <c r="B27" s="827"/>
      <c r="C27" s="827"/>
      <c r="D27" s="827"/>
      <c r="E27" s="827">
        <v>2.79</v>
      </c>
      <c r="F27" s="829"/>
      <c r="G27" s="829"/>
      <c r="H27" s="829"/>
      <c r="I27" s="829">
        <v>7.18</v>
      </c>
      <c r="J27" s="829"/>
      <c r="K27" s="829">
        <v>0.01</v>
      </c>
      <c r="L27" s="829"/>
      <c r="M27" s="829">
        <f>0.43+4.11+0.38</f>
        <v>4.92</v>
      </c>
      <c r="N27" s="829"/>
      <c r="O27" s="829"/>
      <c r="P27" s="829">
        <v>0.18</v>
      </c>
      <c r="Q27" s="830"/>
      <c r="R27" s="829">
        <f t="shared" si="4"/>
        <v>0</v>
      </c>
      <c r="S27" s="829">
        <f t="shared" si="4"/>
        <v>14.899999999999999</v>
      </c>
      <c r="T27" s="830"/>
      <c r="U27" s="829">
        <f t="shared" si="5"/>
        <v>14.899999999999999</v>
      </c>
    </row>
    <row r="28" spans="1:21">
      <c r="A28" s="74" t="s">
        <v>2202</v>
      </c>
      <c r="B28" s="827"/>
      <c r="C28" s="827"/>
      <c r="D28" s="827"/>
      <c r="E28" s="827"/>
      <c r="F28" s="829"/>
      <c r="G28" s="829"/>
      <c r="H28" s="829"/>
      <c r="I28" s="829"/>
      <c r="J28" s="829"/>
      <c r="K28" s="829"/>
      <c r="L28" s="829"/>
      <c r="M28" s="829"/>
      <c r="N28" s="829"/>
      <c r="O28" s="829"/>
      <c r="P28" s="829"/>
      <c r="Q28" s="830"/>
      <c r="R28" s="829">
        <f t="shared" si="4"/>
        <v>0</v>
      </c>
      <c r="S28" s="829">
        <f t="shared" si="4"/>
        <v>0</v>
      </c>
      <c r="T28" s="830"/>
      <c r="U28" s="829">
        <f t="shared" si="5"/>
        <v>0</v>
      </c>
    </row>
    <row r="29" spans="1:21">
      <c r="A29" s="74" t="s">
        <v>2203</v>
      </c>
      <c r="B29" s="827">
        <v>1.34</v>
      </c>
      <c r="C29" s="827"/>
      <c r="D29" s="827"/>
      <c r="E29" s="827">
        <v>0.33</v>
      </c>
      <c r="F29" s="829"/>
      <c r="G29" s="829"/>
      <c r="H29" s="829"/>
      <c r="I29" s="829"/>
      <c r="J29" s="829"/>
      <c r="K29" s="827"/>
      <c r="L29" s="829"/>
      <c r="M29" s="829"/>
      <c r="N29" s="829"/>
      <c r="O29" s="829"/>
      <c r="P29" s="829"/>
      <c r="Q29" s="830"/>
      <c r="R29" s="829">
        <f t="shared" si="4"/>
        <v>1.34</v>
      </c>
      <c r="S29" s="829">
        <f t="shared" si="4"/>
        <v>0.33</v>
      </c>
      <c r="T29" s="830"/>
      <c r="U29" s="829">
        <f t="shared" si="5"/>
        <v>1.6700000000000002</v>
      </c>
    </row>
    <row r="30" spans="1:21">
      <c r="A30" s="74" t="s">
        <v>2204</v>
      </c>
      <c r="B30" s="827">
        <v>50.49</v>
      </c>
      <c r="C30" s="827"/>
      <c r="D30" s="827">
        <v>0.13</v>
      </c>
      <c r="E30" s="827"/>
      <c r="F30" s="829"/>
      <c r="G30" s="829"/>
      <c r="H30" s="829"/>
      <c r="I30" s="829"/>
      <c r="J30" s="829"/>
      <c r="K30" s="829">
        <v>1.9</v>
      </c>
      <c r="L30" s="829"/>
      <c r="M30" s="829"/>
      <c r="N30" s="829"/>
      <c r="O30" s="829"/>
      <c r="P30" s="829"/>
      <c r="Q30" s="830"/>
      <c r="R30" s="829">
        <f t="shared" si="4"/>
        <v>50.620000000000005</v>
      </c>
      <c r="S30" s="829">
        <f t="shared" si="4"/>
        <v>1.9</v>
      </c>
      <c r="T30" s="830"/>
      <c r="U30" s="829">
        <f t="shared" si="5"/>
        <v>52.52</v>
      </c>
    </row>
    <row r="31" spans="1:21">
      <c r="A31" s="74" t="s">
        <v>2205</v>
      </c>
      <c r="B31" s="827"/>
      <c r="C31" s="827"/>
      <c r="D31" s="827"/>
      <c r="E31" s="827"/>
      <c r="F31" s="829"/>
      <c r="G31" s="829"/>
      <c r="H31" s="829"/>
      <c r="I31" s="829"/>
      <c r="J31" s="829"/>
      <c r="K31" s="829"/>
      <c r="L31" s="829"/>
      <c r="M31" s="829"/>
      <c r="N31" s="829"/>
      <c r="O31" s="829"/>
      <c r="P31" s="829"/>
      <c r="Q31" s="830"/>
      <c r="R31" s="829">
        <f t="shared" si="4"/>
        <v>0</v>
      </c>
      <c r="S31" s="829">
        <f t="shared" si="4"/>
        <v>0</v>
      </c>
      <c r="T31" s="830"/>
      <c r="U31" s="829">
        <f t="shared" si="5"/>
        <v>0</v>
      </c>
    </row>
    <row r="32" spans="1:21">
      <c r="A32" s="74" t="s">
        <v>2206</v>
      </c>
      <c r="B32" s="827"/>
      <c r="C32" s="827"/>
      <c r="D32" s="827"/>
      <c r="E32" s="827"/>
      <c r="F32" s="829"/>
      <c r="G32" s="829"/>
      <c r="H32" s="829"/>
      <c r="I32" s="829">
        <f>5.28+1.14+0.5</f>
        <v>6.92</v>
      </c>
      <c r="J32" s="829"/>
      <c r="K32" s="829"/>
      <c r="L32" s="829"/>
      <c r="M32" s="829"/>
      <c r="N32" s="829"/>
      <c r="O32" s="829">
        <v>156.68</v>
      </c>
      <c r="P32" s="829"/>
      <c r="Q32" s="830"/>
      <c r="R32" s="829">
        <f t="shared" si="4"/>
        <v>0</v>
      </c>
      <c r="S32" s="829">
        <f t="shared" si="4"/>
        <v>163.6</v>
      </c>
      <c r="T32" s="830"/>
      <c r="U32" s="829">
        <f t="shared" si="5"/>
        <v>163.6</v>
      </c>
    </row>
    <row r="33" spans="1:21">
      <c r="A33" s="74" t="s">
        <v>604</v>
      </c>
      <c r="B33" s="827"/>
      <c r="C33" s="827"/>
      <c r="D33" s="827"/>
      <c r="E33" s="827">
        <v>0.14000000000000001</v>
      </c>
      <c r="F33" s="829"/>
      <c r="G33" s="829"/>
      <c r="H33" s="829"/>
      <c r="I33" s="829">
        <v>0.23</v>
      </c>
      <c r="J33" s="829"/>
      <c r="K33" s="829">
        <f>71.11+4.2+6</f>
        <v>81.31</v>
      </c>
      <c r="L33" s="829"/>
      <c r="M33" s="829"/>
      <c r="N33" s="829"/>
      <c r="O33" s="829">
        <v>0.08</v>
      </c>
      <c r="P33" s="829"/>
      <c r="Q33" s="830"/>
      <c r="R33" s="829">
        <f t="shared" si="4"/>
        <v>0</v>
      </c>
      <c r="S33" s="829">
        <f>SUM(C33+E33+G33+I33+K33+M33+O33)</f>
        <v>81.760000000000005</v>
      </c>
      <c r="T33" s="830"/>
      <c r="U33" s="829">
        <f t="shared" si="5"/>
        <v>81.760000000000005</v>
      </c>
    </row>
    <row r="34" spans="1:21">
      <c r="A34" s="832" t="s">
        <v>2207</v>
      </c>
      <c r="B34" s="833">
        <f>SUM(B20:B33)</f>
        <v>53.260000000000005</v>
      </c>
      <c r="C34" s="833">
        <f>SUM(C20:C33)</f>
        <v>0</v>
      </c>
      <c r="D34" s="833">
        <f>SUM(D20:D33)</f>
        <v>6.7</v>
      </c>
      <c r="E34" s="833">
        <f>SUM(E20:E33)</f>
        <v>8.2100000000000009</v>
      </c>
      <c r="F34" s="834">
        <f t="shared" ref="F34:O34" si="6">SUM(F20:F33)</f>
        <v>0</v>
      </c>
      <c r="G34" s="834">
        <f t="shared" si="6"/>
        <v>0</v>
      </c>
      <c r="H34" s="834">
        <f t="shared" si="6"/>
        <v>0</v>
      </c>
      <c r="I34" s="834">
        <f>SUM(I20:I33)</f>
        <v>15.459999999999999</v>
      </c>
      <c r="J34" s="834">
        <f t="shared" si="6"/>
        <v>0</v>
      </c>
      <c r="K34" s="834">
        <f t="shared" si="6"/>
        <v>110.65</v>
      </c>
      <c r="L34" s="834">
        <f t="shared" si="6"/>
        <v>9.629999999999999</v>
      </c>
      <c r="M34" s="834">
        <f t="shared" si="6"/>
        <v>192.31</v>
      </c>
      <c r="N34" s="834">
        <f t="shared" si="6"/>
        <v>0</v>
      </c>
      <c r="O34" s="834">
        <f t="shared" si="6"/>
        <v>156.76000000000002</v>
      </c>
      <c r="P34" s="834">
        <f>SUM(P20:P33)</f>
        <v>1.1399999999999999</v>
      </c>
      <c r="Q34" s="830"/>
      <c r="R34" s="829">
        <f t="shared" si="4"/>
        <v>69.59</v>
      </c>
      <c r="S34" s="829">
        <f t="shared" si="4"/>
        <v>483.39</v>
      </c>
      <c r="T34" s="830"/>
      <c r="U34" s="829">
        <f t="shared" si="5"/>
        <v>552.98</v>
      </c>
    </row>
    <row r="35" spans="1:21">
      <c r="A35" s="832" t="s">
        <v>2208</v>
      </c>
      <c r="B35" s="833">
        <v>0</v>
      </c>
      <c r="C35" s="833">
        <v>0</v>
      </c>
      <c r="D35" s="833">
        <v>0</v>
      </c>
      <c r="E35" s="833">
        <v>1.44</v>
      </c>
      <c r="F35" s="834">
        <v>0</v>
      </c>
      <c r="G35" s="834">
        <v>0</v>
      </c>
      <c r="H35" s="834">
        <v>0</v>
      </c>
      <c r="I35" s="834">
        <f>900+100+200</f>
        <v>1200</v>
      </c>
      <c r="J35" s="834">
        <v>0</v>
      </c>
      <c r="K35" s="834">
        <v>0</v>
      </c>
      <c r="L35" s="834">
        <v>0</v>
      </c>
      <c r="M35" s="834">
        <v>1.85</v>
      </c>
      <c r="N35" s="834">
        <v>0</v>
      </c>
      <c r="O35" s="834">
        <v>0</v>
      </c>
      <c r="P35" s="834">
        <v>0</v>
      </c>
      <c r="Q35" s="830"/>
      <c r="R35" s="829">
        <f t="shared" si="4"/>
        <v>0</v>
      </c>
      <c r="S35" s="829">
        <f t="shared" si="4"/>
        <v>1203.29</v>
      </c>
      <c r="T35" s="830"/>
      <c r="U35" s="829">
        <f t="shared" si="5"/>
        <v>1203.29</v>
      </c>
    </row>
    <row r="36" spans="1:21">
      <c r="A36" s="832"/>
      <c r="B36" s="827"/>
      <c r="C36" s="827"/>
      <c r="D36" s="827"/>
      <c r="E36" s="827"/>
      <c r="F36" s="829"/>
      <c r="G36" s="829"/>
      <c r="H36" s="829"/>
      <c r="I36" s="829"/>
      <c r="J36" s="829"/>
      <c r="K36" s="834"/>
      <c r="L36" s="829"/>
      <c r="M36" s="829"/>
      <c r="N36" s="829"/>
      <c r="O36" s="829"/>
      <c r="P36" s="829"/>
      <c r="Q36" s="830"/>
      <c r="R36" s="829"/>
      <c r="S36" s="829"/>
      <c r="T36" s="830"/>
      <c r="U36" s="829"/>
    </row>
    <row r="37" spans="1:21">
      <c r="A37" s="832" t="s">
        <v>2209</v>
      </c>
      <c r="B37" s="827"/>
      <c r="C37" s="827"/>
      <c r="D37" s="827"/>
      <c r="E37" s="827"/>
      <c r="F37" s="829"/>
      <c r="G37" s="829"/>
      <c r="H37" s="829"/>
      <c r="I37" s="829"/>
      <c r="J37" s="829"/>
      <c r="K37" s="829"/>
      <c r="L37" s="829"/>
      <c r="M37" s="829"/>
      <c r="N37" s="829"/>
      <c r="O37" s="829"/>
      <c r="P37" s="829"/>
      <c r="Q37" s="830"/>
      <c r="R37" s="829"/>
      <c r="S37" s="829"/>
      <c r="T37" s="830"/>
      <c r="U37" s="829"/>
    </row>
    <row r="38" spans="1:21">
      <c r="A38" s="74" t="s">
        <v>2210</v>
      </c>
      <c r="B38" s="827"/>
      <c r="C38" s="827"/>
      <c r="D38" s="827"/>
      <c r="E38" s="827">
        <v>5400</v>
      </c>
      <c r="F38" s="829"/>
      <c r="G38" s="829"/>
      <c r="H38" s="829">
        <v>17.010000000000002</v>
      </c>
      <c r="I38" s="829"/>
      <c r="J38" s="829"/>
      <c r="K38" s="829">
        <v>114.83</v>
      </c>
      <c r="L38" s="829"/>
      <c r="M38" s="829"/>
      <c r="N38" s="829"/>
      <c r="O38" s="829"/>
      <c r="P38" s="829">
        <v>2</v>
      </c>
      <c r="Q38" s="830"/>
      <c r="R38" s="829">
        <f t="shared" ref="R38:S45" si="7">SUM(B38+D38+F38+H38+J38+L38+N38)</f>
        <v>17.010000000000002</v>
      </c>
      <c r="S38" s="829">
        <f t="shared" si="7"/>
        <v>5514.83</v>
      </c>
      <c r="T38" s="830"/>
      <c r="U38" s="829">
        <f>SUM(R38:S38)</f>
        <v>5531.84</v>
      </c>
    </row>
    <row r="39" spans="1:21">
      <c r="A39" s="74" t="s">
        <v>2211</v>
      </c>
      <c r="B39" s="827"/>
      <c r="C39" s="827"/>
      <c r="D39" s="827"/>
      <c r="E39" s="827"/>
      <c r="F39" s="829"/>
      <c r="G39" s="829"/>
      <c r="H39" s="829"/>
      <c r="I39" s="829"/>
      <c r="J39" s="829"/>
      <c r="K39" s="829"/>
      <c r="L39" s="829"/>
      <c r="M39" s="829">
        <v>9</v>
      </c>
      <c r="N39" s="829"/>
      <c r="O39" s="829"/>
      <c r="P39" s="829"/>
      <c r="Q39" s="830"/>
      <c r="R39" s="829">
        <f t="shared" si="7"/>
        <v>0</v>
      </c>
      <c r="S39" s="829">
        <f t="shared" si="7"/>
        <v>9</v>
      </c>
      <c r="T39" s="830"/>
      <c r="U39" s="829">
        <f>SUM(R39:S39)</f>
        <v>9</v>
      </c>
    </row>
    <row r="40" spans="1:21">
      <c r="A40" s="74" t="s">
        <v>2212</v>
      </c>
      <c r="B40" s="827"/>
      <c r="C40" s="827"/>
      <c r="D40" s="827"/>
      <c r="E40" s="827"/>
      <c r="F40" s="829"/>
      <c r="G40" s="829"/>
      <c r="H40" s="829"/>
      <c r="I40" s="829"/>
      <c r="J40" s="829"/>
      <c r="K40" s="829"/>
      <c r="L40" s="829"/>
      <c r="M40" s="829"/>
      <c r="N40" s="829"/>
      <c r="O40" s="829"/>
      <c r="P40" s="829"/>
      <c r="Q40" s="830"/>
      <c r="R40" s="829">
        <f t="shared" si="7"/>
        <v>0</v>
      </c>
      <c r="S40" s="829">
        <f t="shared" si="7"/>
        <v>0</v>
      </c>
      <c r="T40" s="830"/>
      <c r="U40" s="829">
        <f t="shared" ref="U40:U45" si="8">SUM(R40:S40)</f>
        <v>0</v>
      </c>
    </row>
    <row r="41" spans="1:21">
      <c r="A41" s="74" t="s">
        <v>2213</v>
      </c>
      <c r="B41" s="827"/>
      <c r="C41" s="827"/>
      <c r="D41" s="827"/>
      <c r="E41" s="827"/>
      <c r="F41" s="829"/>
      <c r="G41" s="829"/>
      <c r="H41" s="829"/>
      <c r="I41" s="829"/>
      <c r="J41" s="829"/>
      <c r="K41" s="829"/>
      <c r="L41" s="829"/>
      <c r="M41" s="829"/>
      <c r="N41" s="829"/>
      <c r="O41" s="829"/>
      <c r="P41" s="829"/>
      <c r="Q41" s="830"/>
      <c r="R41" s="829">
        <f t="shared" si="7"/>
        <v>0</v>
      </c>
      <c r="S41" s="829">
        <f t="shared" si="7"/>
        <v>0</v>
      </c>
      <c r="T41" s="830"/>
      <c r="U41" s="829">
        <f t="shared" si="8"/>
        <v>0</v>
      </c>
    </row>
    <row r="42" spans="1:21">
      <c r="A42" s="74" t="s">
        <v>2214</v>
      </c>
      <c r="B42" s="827"/>
      <c r="C42" s="827"/>
      <c r="D42" s="827"/>
      <c r="E42" s="827"/>
      <c r="F42" s="829"/>
      <c r="G42" s="829"/>
      <c r="H42" s="829"/>
      <c r="I42" s="829"/>
      <c r="J42" s="829"/>
      <c r="K42" s="829" t="s">
        <v>2226</v>
      </c>
      <c r="L42" s="829"/>
      <c r="M42" s="829"/>
      <c r="N42" s="829"/>
      <c r="O42" s="829"/>
      <c r="P42" s="829"/>
      <c r="Q42" s="830"/>
      <c r="R42" s="829">
        <f t="shared" si="7"/>
        <v>0</v>
      </c>
      <c r="S42" s="829">
        <v>0</v>
      </c>
      <c r="T42" s="830"/>
      <c r="U42" s="829">
        <f t="shared" si="8"/>
        <v>0</v>
      </c>
    </row>
    <row r="43" spans="1:21">
      <c r="A43" s="74" t="s">
        <v>604</v>
      </c>
      <c r="B43" s="827"/>
      <c r="C43" s="827"/>
      <c r="D43" s="827"/>
      <c r="E43" s="827">
        <f>450+0.04</f>
        <v>450.04</v>
      </c>
      <c r="F43" s="829"/>
      <c r="G43" s="829"/>
      <c r="H43" s="829"/>
      <c r="I43" s="829"/>
      <c r="J43" s="829"/>
      <c r="K43" s="829"/>
      <c r="L43" s="829"/>
      <c r="M43" s="829"/>
      <c r="N43" s="829"/>
      <c r="O43" s="829">
        <v>121.57</v>
      </c>
      <c r="P43" s="829"/>
      <c r="Q43" s="830"/>
      <c r="R43" s="829">
        <f t="shared" si="7"/>
        <v>0</v>
      </c>
      <c r="S43" s="829">
        <f>SUM(C43+G43+I43+K43+M43+O43)</f>
        <v>121.57</v>
      </c>
      <c r="T43" s="830"/>
      <c r="U43" s="829">
        <f t="shared" si="8"/>
        <v>121.57</v>
      </c>
    </row>
    <row r="44" spans="1:21">
      <c r="A44" s="832" t="s">
        <v>2215</v>
      </c>
      <c r="B44" s="833">
        <f>SUM(B38:B43)</f>
        <v>0</v>
      </c>
      <c r="C44" s="833">
        <f>SUM(C38:C43)</f>
        <v>0</v>
      </c>
      <c r="D44" s="833">
        <f>SUM(D38:D43)</f>
        <v>0</v>
      </c>
      <c r="E44" s="833">
        <f>SUM(E38:E43)-450.66</f>
        <v>5399.38</v>
      </c>
      <c r="F44" s="834">
        <f>SUM(F38:F43)</f>
        <v>0</v>
      </c>
      <c r="G44" s="834">
        <f>SUM(G38:G43)</f>
        <v>0</v>
      </c>
      <c r="H44" s="834">
        <f>SUM(H38:H43)</f>
        <v>17.010000000000002</v>
      </c>
      <c r="I44" s="834">
        <f>SUM(I38:I43)</f>
        <v>0</v>
      </c>
      <c r="J44" s="834">
        <f>SUM(J38:J43)</f>
        <v>0</v>
      </c>
      <c r="K44" s="834">
        <f>SUM(K38+K39+K40+K41+K43)</f>
        <v>114.83</v>
      </c>
      <c r="L44" s="834">
        <v>0</v>
      </c>
      <c r="M44" s="834">
        <v>0</v>
      </c>
      <c r="N44" s="834">
        <f>SUM(N38:N43)</f>
        <v>0</v>
      </c>
      <c r="O44" s="834">
        <f>SUM(O38:O43)</f>
        <v>121.57</v>
      </c>
      <c r="P44" s="834">
        <f>SUM(P38:P43)</f>
        <v>2</v>
      </c>
      <c r="Q44" s="830"/>
      <c r="R44" s="829">
        <f t="shared" si="7"/>
        <v>17.010000000000002</v>
      </c>
      <c r="S44" s="829">
        <f t="shared" si="7"/>
        <v>5635.78</v>
      </c>
      <c r="T44" s="830"/>
      <c r="U44" s="829">
        <f t="shared" si="8"/>
        <v>5652.79</v>
      </c>
    </row>
    <row r="45" spans="1:21">
      <c r="A45" s="832" t="s">
        <v>2216</v>
      </c>
      <c r="B45" s="833">
        <v>0</v>
      </c>
      <c r="C45" s="833">
        <v>0</v>
      </c>
      <c r="D45" s="833">
        <v>0</v>
      </c>
      <c r="E45" s="833">
        <f>450+0.66</f>
        <v>450.66</v>
      </c>
      <c r="F45" s="834">
        <v>0</v>
      </c>
      <c r="G45" s="834">
        <v>0</v>
      </c>
      <c r="H45" s="834">
        <v>0</v>
      </c>
      <c r="I45" s="834">
        <v>0</v>
      </c>
      <c r="J45" s="834">
        <v>0</v>
      </c>
      <c r="K45" s="834">
        <v>0</v>
      </c>
      <c r="L45" s="834">
        <v>0</v>
      </c>
      <c r="M45" s="834">
        <v>0</v>
      </c>
      <c r="N45" s="834">
        <v>0</v>
      </c>
      <c r="O45" s="834">
        <v>0</v>
      </c>
      <c r="P45" s="834">
        <v>0</v>
      </c>
      <c r="Q45" s="830"/>
      <c r="R45" s="829">
        <f t="shared" si="7"/>
        <v>0</v>
      </c>
      <c r="S45" s="829">
        <f t="shared" si="7"/>
        <v>450.66</v>
      </c>
      <c r="T45" s="830"/>
      <c r="U45" s="829">
        <f t="shared" si="8"/>
        <v>450.66</v>
      </c>
    </row>
    <row r="46" spans="1:21">
      <c r="A46" s="74"/>
      <c r="B46" s="827"/>
      <c r="C46" s="827"/>
      <c r="D46" s="827"/>
      <c r="E46" s="827"/>
      <c r="F46" s="829"/>
      <c r="G46" s="829"/>
      <c r="H46" s="829"/>
      <c r="I46" s="829"/>
      <c r="J46" s="829"/>
      <c r="K46" s="829"/>
      <c r="L46" s="829"/>
      <c r="M46" s="829"/>
      <c r="N46" s="829"/>
      <c r="O46" s="829"/>
      <c r="P46" s="829"/>
      <c r="Q46" s="830"/>
      <c r="R46" s="829"/>
      <c r="S46" s="829"/>
      <c r="T46" s="830"/>
      <c r="U46" s="829"/>
    </row>
    <row r="47" spans="1:21">
      <c r="A47" s="832" t="s">
        <v>2217</v>
      </c>
      <c r="B47" s="833">
        <f>SUM(B17,B34,B44)</f>
        <v>1057.45</v>
      </c>
      <c r="C47" s="833">
        <f>SUM(C17,C34,C44)</f>
        <v>2519.7199999999998</v>
      </c>
      <c r="D47" s="833">
        <f>SUM(D17,D34,D44)</f>
        <v>14.920000000000002</v>
      </c>
      <c r="E47" s="833">
        <f>SUM(E17,E34,E44)</f>
        <v>5446.91</v>
      </c>
      <c r="F47" s="834">
        <f t="shared" ref="F47:L47" si="9">SUM(F17,F34,F44)</f>
        <v>0</v>
      </c>
      <c r="G47" s="834">
        <f t="shared" si="9"/>
        <v>0</v>
      </c>
      <c r="H47" s="834">
        <f t="shared" si="9"/>
        <v>79.72</v>
      </c>
      <c r="I47" s="834">
        <f t="shared" si="9"/>
        <v>1191.1000000000001</v>
      </c>
      <c r="J47" s="834">
        <f t="shared" si="9"/>
        <v>175.17</v>
      </c>
      <c r="K47" s="834">
        <f t="shared" si="9"/>
        <v>6760.55</v>
      </c>
      <c r="L47" s="834">
        <f t="shared" si="9"/>
        <v>9.629999999999999</v>
      </c>
      <c r="M47" s="834"/>
      <c r="N47" s="834">
        <f>SUM(N17,N34,N44)</f>
        <v>411.75</v>
      </c>
      <c r="O47" s="834">
        <f>SUM(O17,O34,O44)</f>
        <v>278.33000000000004</v>
      </c>
      <c r="P47" s="834">
        <f>SUM(P17+P34+P44)</f>
        <v>1255.6400000000001</v>
      </c>
      <c r="Q47" s="830"/>
      <c r="R47" s="836">
        <f>SUM(B47+D47+F47+H47+J47+L47+N47)</f>
        <v>1748.6400000000003</v>
      </c>
      <c r="S47" s="829">
        <f>SUM(C47+E47+G47+I47+K47+M47+O47)</f>
        <v>16196.609999999999</v>
      </c>
      <c r="T47" s="830"/>
      <c r="U47" s="829">
        <f>SUM(R47:S47)</f>
        <v>17945.25</v>
      </c>
    </row>
    <row r="48" spans="1:21">
      <c r="A48" s="832" t="s">
        <v>2218</v>
      </c>
      <c r="B48" s="833">
        <f t="shared" ref="B48:J48" si="10">SUM(B35,B45)</f>
        <v>0</v>
      </c>
      <c r="C48" s="833">
        <f t="shared" si="10"/>
        <v>0</v>
      </c>
      <c r="D48" s="833">
        <f t="shared" si="10"/>
        <v>0</v>
      </c>
      <c r="E48" s="833">
        <f t="shared" si="10"/>
        <v>452.1</v>
      </c>
      <c r="F48" s="834">
        <f t="shared" si="10"/>
        <v>0</v>
      </c>
      <c r="G48" s="834">
        <f t="shared" si="10"/>
        <v>0</v>
      </c>
      <c r="H48" s="834">
        <f t="shared" si="10"/>
        <v>0</v>
      </c>
      <c r="I48" s="834">
        <f t="shared" si="10"/>
        <v>1200</v>
      </c>
      <c r="J48" s="834">
        <f t="shared" si="10"/>
        <v>0</v>
      </c>
      <c r="K48" s="834">
        <v>0</v>
      </c>
      <c r="L48" s="834">
        <f>SUM(L35,L45)</f>
        <v>0</v>
      </c>
      <c r="M48" s="834"/>
      <c r="N48" s="834">
        <f>SUM(N35,N45)</f>
        <v>0</v>
      </c>
      <c r="O48" s="834">
        <f>SUM(O35,O45)</f>
        <v>0</v>
      </c>
      <c r="P48" s="834">
        <v>0</v>
      </c>
      <c r="Q48" s="830"/>
      <c r="R48" s="836">
        <f>SUM(B48+D48+F48+H48+J48+L48+N48)</f>
        <v>0</v>
      </c>
      <c r="S48" s="829">
        <f>SUM(C48+E48+G48+I48+K48+M48+O48)</f>
        <v>1652.1</v>
      </c>
      <c r="T48" s="830"/>
      <c r="U48" s="829">
        <f>SUM(R48:S48)</f>
        <v>1652.1</v>
      </c>
    </row>
    <row r="49" spans="1:21">
      <c r="A49" s="74"/>
      <c r="B49" s="827"/>
      <c r="C49" s="827"/>
      <c r="D49" s="827"/>
      <c r="E49" s="827"/>
      <c r="F49" s="829"/>
      <c r="G49" s="829"/>
      <c r="H49" s="829"/>
      <c r="I49" s="829"/>
      <c r="J49" s="829"/>
      <c r="K49" s="829"/>
      <c r="L49" s="829"/>
      <c r="M49" s="829"/>
      <c r="N49" s="829"/>
      <c r="O49" s="829"/>
      <c r="P49" s="829"/>
      <c r="Q49" s="830"/>
      <c r="R49" s="829"/>
      <c r="S49" s="829"/>
      <c r="T49" s="830"/>
      <c r="U49" s="829"/>
    </row>
    <row r="50" spans="1:21">
      <c r="A50" s="832" t="s">
        <v>2219</v>
      </c>
      <c r="B50" s="827"/>
      <c r="C50" s="827"/>
      <c r="D50" s="827"/>
      <c r="E50" s="827"/>
      <c r="F50" s="829"/>
      <c r="G50" s="829"/>
      <c r="H50" s="829"/>
      <c r="I50" s="829"/>
      <c r="J50" s="829"/>
      <c r="K50" s="829"/>
      <c r="L50" s="829"/>
      <c r="M50" s="829"/>
      <c r="N50" s="829"/>
      <c r="O50" s="829"/>
      <c r="P50" s="829"/>
      <c r="Q50" s="830"/>
      <c r="R50" s="829"/>
      <c r="S50" s="829"/>
      <c r="T50" s="830"/>
      <c r="U50" s="829"/>
    </row>
    <row r="51" spans="1:21">
      <c r="A51" s="74" t="s">
        <v>2220</v>
      </c>
      <c r="B51" s="833">
        <v>4313.3999999999996</v>
      </c>
      <c r="C51" s="827"/>
      <c r="D51" s="827"/>
      <c r="E51" s="827"/>
      <c r="F51" s="829"/>
      <c r="G51" s="829"/>
      <c r="H51" s="829"/>
      <c r="I51" s="829"/>
      <c r="J51" s="829"/>
      <c r="K51" s="829"/>
      <c r="L51" s="829"/>
      <c r="M51" s="829"/>
      <c r="N51" s="829"/>
      <c r="O51" s="829"/>
      <c r="P51" s="834">
        <v>4142.49</v>
      </c>
      <c r="Q51" s="830"/>
      <c r="R51" s="829">
        <f>SUM(B51+D51+F51+H51+J51+L51+N51)</f>
        <v>4313.3999999999996</v>
      </c>
      <c r="S51" s="829"/>
      <c r="T51" s="830"/>
      <c r="U51" s="829">
        <f>SUM(R51:S51)</f>
        <v>4313.3999999999996</v>
      </c>
    </row>
    <row r="52" spans="1:21">
      <c r="A52" s="74" t="s">
        <v>56</v>
      </c>
      <c r="B52" s="838"/>
      <c r="C52" s="827"/>
      <c r="D52" s="827"/>
      <c r="E52" s="827"/>
      <c r="F52" s="829"/>
      <c r="G52" s="829"/>
      <c r="H52" s="833">
        <f>2+0.96+262.8+50+11.69+28</f>
        <v>355.45</v>
      </c>
      <c r="I52" s="829"/>
      <c r="J52" s="829"/>
      <c r="K52" s="829"/>
      <c r="L52" s="833">
        <f>45+6+7.48+3</f>
        <v>61.480000000000004</v>
      </c>
      <c r="M52" s="829"/>
      <c r="N52" s="829"/>
      <c r="O52" s="833"/>
      <c r="P52" s="834">
        <f>66+840</f>
        <v>906</v>
      </c>
      <c r="Q52" s="830"/>
      <c r="R52" s="829">
        <f>SUM(B52+D52+F52+H52+J52+L52+N52)</f>
        <v>416.93</v>
      </c>
      <c r="S52" s="829"/>
      <c r="T52" s="830"/>
      <c r="U52" s="829">
        <f>SUM(R52:S52)</f>
        <v>416.93</v>
      </c>
    </row>
    <row r="53" spans="1:21">
      <c r="A53" s="74" t="s">
        <v>2222</v>
      </c>
      <c r="B53" s="827"/>
      <c r="C53" s="827"/>
      <c r="D53" s="833">
        <v>5770.05</v>
      </c>
      <c r="E53" s="827"/>
      <c r="F53" s="829"/>
      <c r="G53" s="829"/>
      <c r="H53" s="829"/>
      <c r="I53" s="829"/>
      <c r="J53" s="833">
        <f>263.82+11.69+367.52+32.42+711+26+621.91+15.56</f>
        <v>2049.9199999999996</v>
      </c>
      <c r="K53" s="829"/>
      <c r="L53" s="829"/>
      <c r="M53" s="829"/>
      <c r="N53" s="829"/>
      <c r="O53" s="829"/>
      <c r="P53" s="829"/>
      <c r="Q53" s="830"/>
      <c r="R53" s="829">
        <f>SUM(B53+D53+F53+H53+J53+L53+N53)</f>
        <v>7819.9699999999993</v>
      </c>
      <c r="S53" s="829">
        <f>SUM(C53,E53,G53,I53,K53,M53,O53)</f>
        <v>0</v>
      </c>
      <c r="T53" s="830"/>
      <c r="U53" s="829">
        <f>SUM(R53:S53)</f>
        <v>7819.9699999999993</v>
      </c>
    </row>
    <row r="54" spans="1:21">
      <c r="A54" s="74" t="s">
        <v>604</v>
      </c>
      <c r="B54" s="827"/>
      <c r="C54" s="827"/>
      <c r="D54" s="827"/>
      <c r="E54" s="827"/>
      <c r="F54" s="829"/>
      <c r="G54" s="829"/>
      <c r="H54" s="829"/>
      <c r="I54" s="829"/>
      <c r="J54" s="829"/>
      <c r="K54" s="829"/>
      <c r="L54" s="829"/>
      <c r="M54" s="829"/>
      <c r="N54" s="834">
        <f>16980+201.59</f>
        <v>17181.59</v>
      </c>
      <c r="O54" s="829"/>
      <c r="P54" s="833">
        <f>SUM(P51:P53)</f>
        <v>5048.49</v>
      </c>
      <c r="Q54" s="830"/>
      <c r="R54" s="829">
        <f>SUM(B54,D54,F54,H54,J54,L54,N54)</f>
        <v>17181.59</v>
      </c>
      <c r="S54" s="829">
        <f>SUM(C54,E54,G54,I54,K54,M54,O54)</f>
        <v>0</v>
      </c>
      <c r="T54" s="830"/>
      <c r="U54" s="829">
        <f>SUM(R54:S54)</f>
        <v>17181.59</v>
      </c>
    </row>
  </sheetData>
  <mergeCells count="8">
    <mergeCell ref="N3:O3"/>
    <mergeCell ref="R3:S3"/>
    <mergeCell ref="B3:C3"/>
    <mergeCell ref="D3:E3"/>
    <mergeCell ref="F3:G3"/>
    <mergeCell ref="H3:I3"/>
    <mergeCell ref="J3:K3"/>
    <mergeCell ref="L3:M3"/>
  </mergeCells>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dimension ref="A1:U53"/>
  <sheetViews>
    <sheetView workbookViewId="0">
      <selection activeCell="B1" sqref="A1:XFD2"/>
    </sheetView>
  </sheetViews>
  <sheetFormatPr defaultRowHeight="15"/>
  <cols>
    <col min="1" max="1" width="24.28515625" style="697" customWidth="1"/>
    <col min="2" max="2" width="17.42578125" style="697" customWidth="1"/>
    <col min="3" max="3" width="15.5703125" style="697" customWidth="1"/>
    <col min="4" max="4" width="9.42578125" style="697" bestFit="1" customWidth="1"/>
    <col min="5" max="5" width="11.5703125" style="697" bestFit="1" customWidth="1"/>
    <col min="6" max="6" width="11.42578125" style="697" bestFit="1" customWidth="1"/>
    <col min="7" max="7" width="17" style="697" customWidth="1"/>
    <col min="8" max="8" width="9" style="697" bestFit="1" customWidth="1"/>
    <col min="9" max="9" width="8.85546875" style="697" customWidth="1"/>
    <col min="10" max="10" width="9" style="697" bestFit="1" customWidth="1"/>
    <col min="11" max="11" width="8.140625" style="697" customWidth="1"/>
    <col min="12" max="12" width="11.140625" style="697" bestFit="1" customWidth="1"/>
    <col min="13" max="15" width="11" style="697" customWidth="1"/>
    <col min="16" max="16" width="12.140625" style="697" customWidth="1"/>
    <col min="17" max="17" width="3.5703125" style="840" customWidth="1"/>
    <col min="18" max="18" width="8.5703125" style="697" bestFit="1" customWidth="1"/>
    <col min="19" max="19" width="9.140625" style="697"/>
    <col min="20" max="20" width="3.85546875" style="840" customWidth="1"/>
    <col min="21" max="21" width="24.140625" style="697" bestFit="1" customWidth="1"/>
    <col min="22" max="16384" width="9.140625" style="697"/>
  </cols>
  <sheetData>
    <row r="1" spans="1:21">
      <c r="A1" s="882" t="s">
        <v>2265</v>
      </c>
      <c r="B1" s="73"/>
      <c r="C1" s="73"/>
      <c r="D1" s="883"/>
      <c r="Q1" s="697"/>
      <c r="T1" s="697"/>
    </row>
    <row r="2" spans="1:21">
      <c r="Q2" s="697"/>
      <c r="T2" s="697"/>
    </row>
    <row r="3" spans="1:21">
      <c r="A3" s="74"/>
      <c r="B3" s="1214" t="s">
        <v>893</v>
      </c>
      <c r="C3" s="1214"/>
      <c r="D3" s="1214" t="s">
        <v>2172</v>
      </c>
      <c r="E3" s="1214"/>
      <c r="F3" s="1214" t="s">
        <v>2173</v>
      </c>
      <c r="G3" s="1214"/>
      <c r="H3" s="1214" t="s">
        <v>2174</v>
      </c>
      <c r="I3" s="1214"/>
      <c r="J3" s="1214" t="s">
        <v>2175</v>
      </c>
      <c r="K3" s="1214"/>
      <c r="L3" s="1214" t="s">
        <v>2176</v>
      </c>
      <c r="M3" s="1214"/>
      <c r="N3" s="1214" t="s">
        <v>2177</v>
      </c>
      <c r="O3" s="1214"/>
      <c r="P3" s="841"/>
      <c r="Q3" s="842"/>
      <c r="R3" s="1214" t="s">
        <v>2178</v>
      </c>
      <c r="S3" s="1215"/>
      <c r="T3" s="843"/>
      <c r="U3" s="841" t="s">
        <v>2179</v>
      </c>
    </row>
    <row r="4" spans="1:21" s="698" customFormat="1">
      <c r="A4" s="844"/>
      <c r="B4" s="841" t="s">
        <v>2180</v>
      </c>
      <c r="C4" s="841" t="s">
        <v>604</v>
      </c>
      <c r="D4" s="841" t="s">
        <v>2180</v>
      </c>
      <c r="E4" s="841" t="s">
        <v>604</v>
      </c>
      <c r="F4" s="841" t="s">
        <v>2180</v>
      </c>
      <c r="G4" s="841" t="s">
        <v>604</v>
      </c>
      <c r="H4" s="841" t="s">
        <v>2180</v>
      </c>
      <c r="I4" s="841" t="s">
        <v>604</v>
      </c>
      <c r="J4" s="841" t="s">
        <v>2180</v>
      </c>
      <c r="K4" s="841" t="s">
        <v>604</v>
      </c>
      <c r="L4" s="841" t="s">
        <v>2180</v>
      </c>
      <c r="M4" s="841" t="s">
        <v>604</v>
      </c>
      <c r="N4" s="841" t="s">
        <v>2180</v>
      </c>
      <c r="O4" s="841" t="s">
        <v>604</v>
      </c>
      <c r="P4" s="841" t="s">
        <v>2181</v>
      </c>
      <c r="Q4" s="842"/>
      <c r="R4" s="841" t="s">
        <v>2180</v>
      </c>
      <c r="S4" s="841" t="s">
        <v>604</v>
      </c>
      <c r="T4" s="845"/>
      <c r="U4" s="844"/>
    </row>
    <row r="5" spans="1:21">
      <c r="A5" s="832" t="s">
        <v>2182</v>
      </c>
      <c r="B5" s="829"/>
      <c r="C5" s="829"/>
      <c r="D5" s="829"/>
      <c r="E5" s="829"/>
      <c r="F5" s="829"/>
      <c r="G5" s="829"/>
      <c r="H5" s="829"/>
      <c r="I5" s="829"/>
      <c r="J5" s="829"/>
      <c r="K5" s="829"/>
      <c r="L5" s="829"/>
      <c r="M5" s="829"/>
      <c r="N5" s="829"/>
      <c r="O5" s="829"/>
      <c r="P5" s="829"/>
      <c r="Q5" s="830"/>
      <c r="R5" s="829"/>
      <c r="S5" s="829"/>
      <c r="T5" s="830"/>
      <c r="U5" s="829"/>
    </row>
    <row r="6" spans="1:21">
      <c r="A6" s="74" t="s">
        <v>2183</v>
      </c>
      <c r="B6" s="829">
        <v>533.41</v>
      </c>
      <c r="C6" s="829"/>
      <c r="D6" s="829">
        <v>0.64</v>
      </c>
      <c r="E6" s="829"/>
      <c r="F6" s="829"/>
      <c r="G6" s="829"/>
      <c r="H6" s="829"/>
      <c r="I6" s="829"/>
      <c r="J6" s="829">
        <f>[3]Industries!$F$22+[3]Industries!$G$22+[3]Industries!$H$22</f>
        <v>43.77</v>
      </c>
      <c r="K6" s="829">
        <f>[3]Industries!$F$23+[3]Industries!$G$23+[3]Industries!$H$23</f>
        <v>1400.6599999999999</v>
      </c>
      <c r="L6" s="829"/>
      <c r="M6" s="829">
        <v>0.36</v>
      </c>
      <c r="N6" s="829"/>
      <c r="O6" s="829"/>
      <c r="P6" s="829">
        <v>952.83</v>
      </c>
      <c r="Q6" s="830"/>
      <c r="R6" s="829">
        <f t="shared" ref="R6:R16" si="0">SUM(B6+D6+F6+H6+J6+L6+N6)</f>
        <v>577.81999999999994</v>
      </c>
      <c r="S6" s="829">
        <f t="shared" ref="S6:S16" si="1">SUM(C6+E6+G6+I6+K6+M6+O6)</f>
        <v>1401.0199999999998</v>
      </c>
      <c r="T6" s="830"/>
      <c r="U6" s="829">
        <f>SUM(R6:S6)</f>
        <v>1978.8399999999997</v>
      </c>
    </row>
    <row r="7" spans="1:21">
      <c r="A7" s="74" t="s">
        <v>2184</v>
      </c>
      <c r="B7" s="829">
        <v>0.74</v>
      </c>
      <c r="C7" s="829"/>
      <c r="D7" s="829">
        <v>6.67</v>
      </c>
      <c r="E7" s="829">
        <v>6.8769999999999998</v>
      </c>
      <c r="F7" s="829"/>
      <c r="G7" s="829"/>
      <c r="H7" s="829"/>
      <c r="I7" s="829"/>
      <c r="J7" s="835">
        <v>45</v>
      </c>
      <c r="K7" s="827">
        <v>1426.29</v>
      </c>
      <c r="L7" s="829"/>
      <c r="M7" s="835">
        <v>21</v>
      </c>
      <c r="N7" s="829"/>
      <c r="O7" s="829"/>
      <c r="P7" s="829">
        <v>16.07</v>
      </c>
      <c r="Q7" s="830"/>
      <c r="R7" s="829">
        <f t="shared" si="0"/>
        <v>52.41</v>
      </c>
      <c r="S7" s="829">
        <f t="shared" si="1"/>
        <v>1454.1669999999999</v>
      </c>
      <c r="T7" s="830"/>
      <c r="U7" s="829">
        <f>SUM(R7:S7)</f>
        <v>1506.577</v>
      </c>
    </row>
    <row r="8" spans="1:21">
      <c r="A8" s="74" t="s">
        <v>2185</v>
      </c>
      <c r="B8" s="829"/>
      <c r="C8" s="829"/>
      <c r="D8" s="829">
        <v>0.1</v>
      </c>
      <c r="E8" s="829"/>
      <c r="F8" s="829"/>
      <c r="G8" s="829"/>
      <c r="H8" s="829"/>
      <c r="I8" s="829"/>
      <c r="J8" s="829"/>
      <c r="K8" s="829">
        <v>33.799999999999997</v>
      </c>
      <c r="L8" s="829"/>
      <c r="M8" s="829"/>
      <c r="N8" s="829"/>
      <c r="O8" s="829"/>
      <c r="P8" s="829"/>
      <c r="Q8" s="830"/>
      <c r="R8" s="829">
        <f t="shared" si="0"/>
        <v>0.1</v>
      </c>
      <c r="S8" s="829">
        <f t="shared" si="1"/>
        <v>33.799999999999997</v>
      </c>
      <c r="T8" s="830"/>
      <c r="U8" s="829">
        <f>SUM(R8:S8)</f>
        <v>33.9</v>
      </c>
    </row>
    <row r="9" spans="1:21">
      <c r="A9" s="74" t="s">
        <v>2186</v>
      </c>
      <c r="B9" s="829"/>
      <c r="C9" s="829"/>
      <c r="D9" s="829"/>
      <c r="E9" s="829"/>
      <c r="F9" s="829"/>
      <c r="G9" s="829"/>
      <c r="H9" s="829"/>
      <c r="I9" s="829"/>
      <c r="J9" s="829"/>
      <c r="K9" s="829"/>
      <c r="L9" s="829"/>
      <c r="M9" s="829"/>
      <c r="N9" s="829"/>
      <c r="O9" s="829"/>
      <c r="P9" s="829"/>
      <c r="Q9" s="830"/>
      <c r="R9" s="829">
        <f t="shared" si="0"/>
        <v>0</v>
      </c>
      <c r="S9" s="829">
        <f t="shared" si="1"/>
        <v>0</v>
      </c>
      <c r="T9" s="830"/>
      <c r="U9" s="829">
        <f t="shared" ref="U9:U16" si="2">SUM(R9:S9)</f>
        <v>0</v>
      </c>
    </row>
    <row r="10" spans="1:21">
      <c r="A10" s="74" t="s">
        <v>2225</v>
      </c>
      <c r="B10" s="829">
        <v>433.64</v>
      </c>
      <c r="C10" s="829"/>
      <c r="D10" s="829"/>
      <c r="E10" s="829"/>
      <c r="F10" s="829"/>
      <c r="G10" s="829"/>
      <c r="H10" s="829"/>
      <c r="I10" s="829">
        <v>18.190000000000001</v>
      </c>
      <c r="J10" s="827">
        <v>1.1200000000000001</v>
      </c>
      <c r="K10" s="827"/>
      <c r="L10" s="829"/>
      <c r="M10" s="829">
        <v>4</v>
      </c>
      <c r="N10" s="829"/>
      <c r="O10" s="829"/>
      <c r="P10" s="829">
        <v>440.34</v>
      </c>
      <c r="Q10" s="830"/>
      <c r="R10" s="829">
        <f t="shared" si="0"/>
        <v>434.76</v>
      </c>
      <c r="S10" s="829">
        <f t="shared" si="1"/>
        <v>22.19</v>
      </c>
      <c r="T10" s="830"/>
      <c r="U10" s="829">
        <f t="shared" si="2"/>
        <v>456.95</v>
      </c>
    </row>
    <row r="11" spans="1:21">
      <c r="A11" s="74" t="s">
        <v>2188</v>
      </c>
      <c r="B11" s="829"/>
      <c r="C11" s="829">
        <v>935.82</v>
      </c>
      <c r="D11" s="829"/>
      <c r="E11" s="829">
        <v>2.59</v>
      </c>
      <c r="F11" s="829"/>
      <c r="G11" s="829"/>
      <c r="H11" s="829"/>
      <c r="I11" s="829"/>
      <c r="J11" s="829"/>
      <c r="K11" s="829"/>
      <c r="L11" s="829"/>
      <c r="M11" s="829"/>
      <c r="N11" s="829"/>
      <c r="O11" s="829"/>
      <c r="P11" s="829"/>
      <c r="Q11" s="830"/>
      <c r="R11" s="829">
        <f t="shared" si="0"/>
        <v>0</v>
      </c>
      <c r="S11" s="829">
        <f t="shared" si="1"/>
        <v>938.41000000000008</v>
      </c>
      <c r="T11" s="830"/>
      <c r="U11" s="829">
        <f t="shared" si="2"/>
        <v>938.41000000000008</v>
      </c>
    </row>
    <row r="12" spans="1:21">
      <c r="A12" s="74" t="s">
        <v>2189</v>
      </c>
      <c r="B12" s="829"/>
      <c r="C12" s="828">
        <v>2209.16</v>
      </c>
      <c r="D12" s="829"/>
      <c r="E12" s="829"/>
      <c r="F12" s="829"/>
      <c r="G12" s="829"/>
      <c r="H12" s="829"/>
      <c r="I12" s="829"/>
      <c r="J12" s="829">
        <v>0.11</v>
      </c>
      <c r="K12" s="829">
        <f>[3]Industries!$P$23+[3]Industries!$K$23</f>
        <v>158.91999999999999</v>
      </c>
      <c r="L12" s="829"/>
      <c r="M12" s="829"/>
      <c r="N12" s="829"/>
      <c r="O12" s="829"/>
      <c r="P12" s="835">
        <v>5</v>
      </c>
      <c r="Q12" s="830"/>
      <c r="R12" s="829">
        <f t="shared" si="0"/>
        <v>0.11</v>
      </c>
      <c r="S12" s="829">
        <f t="shared" si="1"/>
        <v>2368.08</v>
      </c>
      <c r="T12" s="830"/>
      <c r="U12" s="829">
        <f t="shared" si="2"/>
        <v>2368.19</v>
      </c>
    </row>
    <row r="13" spans="1:21">
      <c r="A13" s="74" t="s">
        <v>2190</v>
      </c>
      <c r="B13" s="829"/>
      <c r="C13" s="829"/>
      <c r="D13" s="829"/>
      <c r="E13" s="829"/>
      <c r="F13" s="829"/>
      <c r="G13" s="829"/>
      <c r="H13" s="829"/>
      <c r="I13" s="829"/>
      <c r="J13" s="829"/>
      <c r="K13" s="827">
        <v>118.11</v>
      </c>
      <c r="L13" s="829"/>
      <c r="M13" s="829"/>
      <c r="N13" s="829"/>
      <c r="O13" s="829"/>
      <c r="P13" s="829"/>
      <c r="Q13" s="830"/>
      <c r="R13" s="829">
        <f t="shared" si="0"/>
        <v>0</v>
      </c>
      <c r="S13" s="829">
        <f t="shared" si="1"/>
        <v>118.11</v>
      </c>
      <c r="T13" s="830"/>
      <c r="U13" s="829">
        <f t="shared" si="2"/>
        <v>118.11</v>
      </c>
    </row>
    <row r="14" spans="1:21">
      <c r="A14" s="74" t="s">
        <v>2191</v>
      </c>
      <c r="B14" s="829"/>
      <c r="C14" s="829"/>
      <c r="D14" s="829"/>
      <c r="E14" s="829"/>
      <c r="F14" s="829"/>
      <c r="G14" s="829"/>
      <c r="H14" s="829"/>
      <c r="I14" s="829"/>
      <c r="J14" s="829"/>
      <c r="K14" s="829"/>
      <c r="L14" s="829"/>
      <c r="M14" s="829"/>
      <c r="N14" s="829"/>
      <c r="O14" s="829"/>
      <c r="P14" s="829"/>
      <c r="Q14" s="830"/>
      <c r="R14" s="829">
        <f t="shared" si="0"/>
        <v>0</v>
      </c>
      <c r="S14" s="829">
        <f t="shared" si="1"/>
        <v>0</v>
      </c>
      <c r="T14" s="830"/>
      <c r="U14" s="829">
        <f t="shared" si="2"/>
        <v>0</v>
      </c>
    </row>
    <row r="15" spans="1:21">
      <c r="A15" s="74" t="s">
        <v>604</v>
      </c>
      <c r="B15" s="829"/>
      <c r="C15" s="829"/>
      <c r="D15" s="829"/>
      <c r="E15" s="831">
        <v>4.875E-3</v>
      </c>
      <c r="F15" s="829"/>
      <c r="G15" s="829"/>
      <c r="H15" s="829"/>
      <c r="I15" s="829"/>
      <c r="J15" s="829"/>
      <c r="K15" s="829"/>
      <c r="L15" s="829"/>
      <c r="M15" s="829"/>
      <c r="N15" s="829"/>
      <c r="O15" s="829"/>
      <c r="P15" s="829"/>
      <c r="Q15" s="830"/>
      <c r="R15" s="829">
        <f t="shared" si="0"/>
        <v>0</v>
      </c>
      <c r="S15" s="829">
        <f t="shared" si="1"/>
        <v>4.875E-3</v>
      </c>
      <c r="T15" s="830"/>
      <c r="U15" s="829">
        <f t="shared" si="2"/>
        <v>4.875E-3</v>
      </c>
    </row>
    <row r="16" spans="1:21">
      <c r="A16" s="832" t="s">
        <v>2192</v>
      </c>
      <c r="B16" s="834">
        <f>SUM(B6:B14)</f>
        <v>967.79</v>
      </c>
      <c r="C16" s="834">
        <f>SUM(C5:C14)</f>
        <v>3144.98</v>
      </c>
      <c r="D16" s="834">
        <f t="shared" ref="D16:I16" si="3">SUM(D6:D14)</f>
        <v>7.4099999999999993</v>
      </c>
      <c r="E16" s="834">
        <f t="shared" si="3"/>
        <v>9.4669999999999987</v>
      </c>
      <c r="F16" s="834">
        <f t="shared" si="3"/>
        <v>0</v>
      </c>
      <c r="G16" s="834">
        <f t="shared" si="3"/>
        <v>0</v>
      </c>
      <c r="H16" s="834">
        <f t="shared" si="3"/>
        <v>0</v>
      </c>
      <c r="I16" s="834">
        <f t="shared" si="3"/>
        <v>18.190000000000001</v>
      </c>
      <c r="J16" s="834">
        <f>SUM(J5:J14)</f>
        <v>90.000000000000014</v>
      </c>
      <c r="K16" s="834">
        <f>SUM(K5:K14)</f>
        <v>3137.78</v>
      </c>
      <c r="L16" s="834">
        <f>SUM(L6:L14)</f>
        <v>0</v>
      </c>
      <c r="M16" s="834">
        <f>SUM(M6:M14)</f>
        <v>25.36</v>
      </c>
      <c r="N16" s="834">
        <f>SUM(N6:N14)</f>
        <v>0</v>
      </c>
      <c r="O16" s="834">
        <f>SUM(O6:O14)</f>
        <v>0</v>
      </c>
      <c r="P16" s="834"/>
      <c r="Q16" s="830"/>
      <c r="R16" s="829">
        <f t="shared" si="0"/>
        <v>1065.2</v>
      </c>
      <c r="S16" s="829">
        <f t="shared" si="1"/>
        <v>6335.777</v>
      </c>
      <c r="T16" s="830"/>
      <c r="U16" s="829">
        <f t="shared" si="2"/>
        <v>7400.9769999999999</v>
      </c>
    </row>
    <row r="17" spans="1:21">
      <c r="A17" s="74"/>
      <c r="B17" s="829"/>
      <c r="C17" s="829"/>
      <c r="D17" s="829"/>
      <c r="E17" s="829"/>
      <c r="F17" s="829"/>
      <c r="G17" s="829"/>
      <c r="H17" s="829"/>
      <c r="I17" s="829"/>
      <c r="J17" s="829"/>
      <c r="K17" s="829"/>
      <c r="L17" s="829"/>
      <c r="M17" s="829"/>
      <c r="N17" s="829"/>
      <c r="O17" s="829"/>
      <c r="P17" s="829"/>
      <c r="Q17" s="830"/>
      <c r="R17" s="829"/>
      <c r="S17" s="829"/>
      <c r="T17" s="830"/>
      <c r="U17" s="829"/>
    </row>
    <row r="18" spans="1:21">
      <c r="A18" s="832" t="s">
        <v>2193</v>
      </c>
      <c r="B18" s="829"/>
      <c r="C18" s="829"/>
      <c r="D18" s="829"/>
      <c r="E18" s="829"/>
      <c r="F18" s="829"/>
      <c r="G18" s="829"/>
      <c r="H18" s="829"/>
      <c r="I18" s="829"/>
      <c r="J18" s="829"/>
      <c r="K18" s="829"/>
      <c r="L18" s="829"/>
      <c r="M18" s="829"/>
      <c r="N18" s="829"/>
      <c r="O18" s="829"/>
      <c r="P18" s="829"/>
      <c r="Q18" s="830"/>
      <c r="R18" s="829"/>
      <c r="S18" s="829"/>
      <c r="T18" s="830"/>
      <c r="U18" s="829"/>
    </row>
    <row r="19" spans="1:21">
      <c r="A19" s="74" t="s">
        <v>2194</v>
      </c>
      <c r="B19" s="829">
        <v>1.095</v>
      </c>
      <c r="C19" s="829"/>
      <c r="D19" s="829">
        <v>4.375</v>
      </c>
      <c r="E19" s="829"/>
      <c r="F19" s="829"/>
      <c r="G19" s="829"/>
      <c r="H19" s="829"/>
      <c r="I19" s="829"/>
      <c r="J19" s="829"/>
      <c r="K19" s="829">
        <v>2.1</v>
      </c>
      <c r="L19" s="829"/>
      <c r="M19" s="829">
        <v>30.39</v>
      </c>
      <c r="N19" s="829"/>
      <c r="O19" s="829"/>
      <c r="P19" s="835">
        <v>30</v>
      </c>
      <c r="Q19" s="830"/>
      <c r="R19" s="829">
        <f t="shared" ref="R19:S34" si="4">SUM(B19+D19+F19+H19+J19+L19+N19)</f>
        <v>5.47</v>
      </c>
      <c r="S19" s="829">
        <f t="shared" si="4"/>
        <v>32.49</v>
      </c>
      <c r="T19" s="830"/>
      <c r="U19" s="829">
        <f>SUM(R19:S19)</f>
        <v>37.96</v>
      </c>
    </row>
    <row r="20" spans="1:21">
      <c r="A20" s="74" t="s">
        <v>2195</v>
      </c>
      <c r="B20" s="829"/>
      <c r="C20" s="829"/>
      <c r="D20" s="829"/>
      <c r="E20" s="829">
        <v>5.84335</v>
      </c>
      <c r="F20" s="829"/>
      <c r="G20" s="829"/>
      <c r="H20" s="829"/>
      <c r="I20" s="829"/>
      <c r="J20" s="829"/>
      <c r="K20" s="829">
        <v>3.91</v>
      </c>
      <c r="L20" s="829"/>
      <c r="M20" s="829">
        <v>111.02</v>
      </c>
      <c r="N20" s="829"/>
      <c r="O20" s="829"/>
      <c r="P20" s="829"/>
      <c r="Q20" s="830"/>
      <c r="R20" s="829">
        <f t="shared" si="4"/>
        <v>0</v>
      </c>
      <c r="S20" s="829">
        <f t="shared" si="4"/>
        <v>120.77334999999999</v>
      </c>
      <c r="T20" s="830"/>
      <c r="U20" s="829">
        <f>SUM(R20:S20)</f>
        <v>120.77334999999999</v>
      </c>
    </row>
    <row r="21" spans="1:21">
      <c r="A21" s="74" t="s">
        <v>2224</v>
      </c>
      <c r="B21" s="829"/>
      <c r="C21" s="829"/>
      <c r="D21" s="829"/>
      <c r="E21" s="829"/>
      <c r="F21" s="829"/>
      <c r="G21" s="829"/>
      <c r="H21" s="829"/>
      <c r="I21" s="829"/>
      <c r="J21" s="829"/>
      <c r="K21" s="829">
        <v>0.09</v>
      </c>
      <c r="L21" s="829"/>
      <c r="M21" s="829">
        <v>5.54</v>
      </c>
      <c r="N21" s="829"/>
      <c r="O21" s="829"/>
      <c r="P21" s="829"/>
      <c r="Q21" s="830"/>
      <c r="R21" s="829">
        <f t="shared" si="4"/>
        <v>0</v>
      </c>
      <c r="S21" s="829">
        <f t="shared" si="4"/>
        <v>5.63</v>
      </c>
      <c r="T21" s="830"/>
      <c r="U21" s="829">
        <f t="shared" ref="U21:U34" si="5">SUM(R21:S21)</f>
        <v>5.63</v>
      </c>
    </row>
    <row r="22" spans="1:21">
      <c r="A22" s="74" t="s">
        <v>2197</v>
      </c>
      <c r="B22" s="829"/>
      <c r="C22" s="829"/>
      <c r="D22" s="829"/>
      <c r="E22" s="829">
        <v>0.20208000000000001</v>
      </c>
      <c r="F22" s="829"/>
      <c r="G22" s="829"/>
      <c r="H22" s="829"/>
      <c r="I22" s="829"/>
      <c r="J22" s="829"/>
      <c r="K22" s="827">
        <v>5.79</v>
      </c>
      <c r="L22" s="829"/>
      <c r="M22" s="829">
        <v>1.78</v>
      </c>
      <c r="N22" s="829"/>
      <c r="O22" s="829"/>
      <c r="P22" s="829"/>
      <c r="Q22" s="830"/>
      <c r="R22" s="829">
        <f t="shared" si="4"/>
        <v>0</v>
      </c>
      <c r="S22" s="829">
        <f t="shared" si="4"/>
        <v>7.7720799999999999</v>
      </c>
      <c r="T22" s="830"/>
      <c r="U22" s="829">
        <f t="shared" si="5"/>
        <v>7.7720799999999999</v>
      </c>
    </row>
    <row r="23" spans="1:21">
      <c r="A23" s="74" t="s">
        <v>2198</v>
      </c>
      <c r="B23" s="829"/>
      <c r="C23" s="829"/>
      <c r="D23" s="829"/>
      <c r="E23" s="829">
        <v>0</v>
      </c>
      <c r="F23" s="829"/>
      <c r="G23" s="829"/>
      <c r="H23" s="829"/>
      <c r="I23" s="829"/>
      <c r="J23" s="829"/>
      <c r="K23" s="829"/>
      <c r="L23" s="829"/>
      <c r="M23" s="827">
        <v>14.75</v>
      </c>
      <c r="N23" s="829"/>
      <c r="O23" s="829"/>
      <c r="P23" s="829"/>
      <c r="Q23" s="830"/>
      <c r="R23" s="829">
        <f t="shared" si="4"/>
        <v>0</v>
      </c>
      <c r="S23" s="829">
        <f t="shared" si="4"/>
        <v>14.75</v>
      </c>
      <c r="T23" s="830"/>
      <c r="U23" s="829">
        <f t="shared" si="5"/>
        <v>14.75</v>
      </c>
    </row>
    <row r="24" spans="1:21">
      <c r="A24" s="74" t="s">
        <v>2199</v>
      </c>
      <c r="B24" s="829"/>
      <c r="C24" s="829"/>
      <c r="D24" s="829"/>
      <c r="E24" s="829">
        <v>0.30149999999999999</v>
      </c>
      <c r="F24" s="829"/>
      <c r="G24" s="829"/>
      <c r="H24" s="829"/>
      <c r="I24" s="829"/>
      <c r="J24" s="829"/>
      <c r="K24" s="829">
        <v>32.549999999999997</v>
      </c>
      <c r="L24" s="829"/>
      <c r="M24" s="829"/>
      <c r="N24" s="829"/>
      <c r="O24" s="829"/>
      <c r="P24" s="829"/>
      <c r="Q24" s="830"/>
      <c r="R24" s="829">
        <f t="shared" si="4"/>
        <v>0</v>
      </c>
      <c r="S24" s="829">
        <f t="shared" si="4"/>
        <v>32.851499999999994</v>
      </c>
      <c r="T24" s="830"/>
      <c r="U24" s="829">
        <f t="shared" si="5"/>
        <v>32.851499999999994</v>
      </c>
    </row>
    <row r="25" spans="1:21">
      <c r="A25" s="74" t="s">
        <v>2200</v>
      </c>
      <c r="B25" s="829"/>
      <c r="C25" s="829"/>
      <c r="D25" s="829"/>
      <c r="E25" s="829">
        <v>0</v>
      </c>
      <c r="F25" s="829"/>
      <c r="G25" s="829"/>
      <c r="H25" s="829"/>
      <c r="I25" s="829"/>
      <c r="J25" s="829"/>
      <c r="K25" s="829"/>
      <c r="L25" s="829"/>
      <c r="M25" s="835">
        <v>4</v>
      </c>
      <c r="N25" s="829"/>
      <c r="O25" s="829"/>
      <c r="P25" s="829"/>
      <c r="Q25" s="830"/>
      <c r="R25" s="829">
        <f t="shared" si="4"/>
        <v>0</v>
      </c>
      <c r="S25" s="829">
        <f t="shared" si="4"/>
        <v>4</v>
      </c>
      <c r="T25" s="830"/>
      <c r="U25" s="829">
        <f t="shared" si="5"/>
        <v>4</v>
      </c>
    </row>
    <row r="26" spans="1:21">
      <c r="A26" s="74" t="s">
        <v>2201</v>
      </c>
      <c r="B26" s="829"/>
      <c r="C26" s="829"/>
      <c r="D26" s="829"/>
      <c r="E26" s="829">
        <v>4.42</v>
      </c>
      <c r="F26" s="829"/>
      <c r="G26" s="829"/>
      <c r="H26" s="829"/>
      <c r="I26" s="829"/>
      <c r="J26" s="829"/>
      <c r="K26" s="829"/>
      <c r="L26" s="829"/>
      <c r="M26" s="829">
        <v>77.650000000000006</v>
      </c>
      <c r="N26" s="829"/>
      <c r="O26" s="829"/>
      <c r="P26" s="829"/>
      <c r="Q26" s="830"/>
      <c r="R26" s="829">
        <f t="shared" si="4"/>
        <v>0</v>
      </c>
      <c r="S26" s="829">
        <f t="shared" si="4"/>
        <v>82.070000000000007</v>
      </c>
      <c r="T26" s="830"/>
      <c r="U26" s="829">
        <f t="shared" si="5"/>
        <v>82.070000000000007</v>
      </c>
    </row>
    <row r="27" spans="1:21">
      <c r="A27" s="74" t="s">
        <v>2202</v>
      </c>
      <c r="B27" s="829"/>
      <c r="C27" s="829"/>
      <c r="D27" s="829"/>
      <c r="E27" s="829">
        <v>0</v>
      </c>
      <c r="F27" s="829"/>
      <c r="G27" s="829"/>
      <c r="H27" s="829"/>
      <c r="I27" s="829"/>
      <c r="J27" s="829"/>
      <c r="K27" s="829"/>
      <c r="L27" s="829"/>
      <c r="M27" s="829"/>
      <c r="N27" s="829"/>
      <c r="O27" s="829"/>
      <c r="P27" s="829"/>
      <c r="Q27" s="830"/>
      <c r="R27" s="829">
        <f t="shared" si="4"/>
        <v>0</v>
      </c>
      <c r="S27" s="829">
        <f t="shared" si="4"/>
        <v>0</v>
      </c>
      <c r="T27" s="830"/>
      <c r="U27" s="829">
        <f t="shared" si="5"/>
        <v>0</v>
      </c>
    </row>
    <row r="28" spans="1:21">
      <c r="A28" s="74" t="s">
        <v>2203</v>
      </c>
      <c r="B28" s="829">
        <v>1.3959999999999999</v>
      </c>
      <c r="C28" s="829"/>
      <c r="D28" s="829"/>
      <c r="E28" s="829">
        <v>0.13125000000000001</v>
      </c>
      <c r="F28" s="829"/>
      <c r="G28" s="829"/>
      <c r="H28" s="829"/>
      <c r="I28" s="829">
        <v>0.12</v>
      </c>
      <c r="J28" s="829"/>
      <c r="K28" s="827">
        <v>0.28000000000000003</v>
      </c>
      <c r="L28" s="829"/>
      <c r="M28" s="829"/>
      <c r="N28" s="829"/>
      <c r="O28" s="829"/>
      <c r="P28" s="829"/>
      <c r="Q28" s="830"/>
      <c r="R28" s="829">
        <f t="shared" si="4"/>
        <v>1.3959999999999999</v>
      </c>
      <c r="S28" s="829">
        <f t="shared" si="4"/>
        <v>0.53125</v>
      </c>
      <c r="T28" s="830"/>
      <c r="U28" s="829">
        <f t="shared" si="5"/>
        <v>1.9272499999999999</v>
      </c>
    </row>
    <row r="29" spans="1:21">
      <c r="A29" s="74" t="s">
        <v>2204</v>
      </c>
      <c r="B29" s="829">
        <v>56.724499999999999</v>
      </c>
      <c r="C29" s="829"/>
      <c r="D29" s="829">
        <v>0.82750000000000001</v>
      </c>
      <c r="E29" s="829"/>
      <c r="F29" s="829"/>
      <c r="G29" s="829"/>
      <c r="H29" s="829"/>
      <c r="I29" s="829"/>
      <c r="J29" s="829"/>
      <c r="K29" s="829">
        <f>[3]Industries!$V$23+[3]Industries!$AA$23</f>
        <v>6.2</v>
      </c>
      <c r="L29" s="829"/>
      <c r="M29" s="829"/>
      <c r="N29" s="829"/>
      <c r="O29" s="829"/>
      <c r="P29" s="829"/>
      <c r="Q29" s="830"/>
      <c r="R29" s="829">
        <f t="shared" si="4"/>
        <v>57.552</v>
      </c>
      <c r="S29" s="829">
        <f t="shared" si="4"/>
        <v>6.2</v>
      </c>
      <c r="T29" s="830"/>
      <c r="U29" s="829">
        <f t="shared" si="5"/>
        <v>63.752000000000002</v>
      </c>
    </row>
    <row r="30" spans="1:21">
      <c r="A30" s="74" t="s">
        <v>2205</v>
      </c>
      <c r="B30" s="829"/>
      <c r="C30" s="829"/>
      <c r="D30" s="829"/>
      <c r="E30" s="829">
        <v>0</v>
      </c>
      <c r="F30" s="829"/>
      <c r="G30" s="829"/>
      <c r="H30" s="829"/>
      <c r="I30" s="829"/>
      <c r="J30" s="829"/>
      <c r="K30" s="829"/>
      <c r="L30" s="829"/>
      <c r="M30" s="829"/>
      <c r="N30" s="829"/>
      <c r="O30" s="829"/>
      <c r="P30" s="829"/>
      <c r="Q30" s="830"/>
      <c r="R30" s="829">
        <f t="shared" si="4"/>
        <v>0</v>
      </c>
      <c r="S30" s="829">
        <f t="shared" si="4"/>
        <v>0</v>
      </c>
      <c r="T30" s="830"/>
      <c r="U30" s="829">
        <f t="shared" si="5"/>
        <v>0</v>
      </c>
    </row>
    <row r="31" spans="1:21">
      <c r="A31" s="74" t="s">
        <v>2206</v>
      </c>
      <c r="B31" s="829"/>
      <c r="C31" s="829"/>
      <c r="D31" s="829"/>
      <c r="E31" s="829">
        <v>0</v>
      </c>
      <c r="F31" s="829"/>
      <c r="G31" s="829"/>
      <c r="H31" s="829"/>
      <c r="I31" s="829">
        <v>0.42</v>
      </c>
      <c r="J31" s="829"/>
      <c r="K31" s="829">
        <v>5.08</v>
      </c>
      <c r="L31" s="829"/>
      <c r="M31" s="829"/>
      <c r="N31" s="829"/>
      <c r="O31" s="829">
        <v>27.43</v>
      </c>
      <c r="P31" s="829"/>
      <c r="Q31" s="830"/>
      <c r="R31" s="829">
        <f t="shared" si="4"/>
        <v>0</v>
      </c>
      <c r="S31" s="829">
        <f t="shared" si="4"/>
        <v>32.93</v>
      </c>
      <c r="T31" s="830"/>
      <c r="U31" s="829">
        <f t="shared" si="5"/>
        <v>32.93</v>
      </c>
    </row>
    <row r="32" spans="1:21">
      <c r="A32" s="74" t="s">
        <v>604</v>
      </c>
      <c r="B32" s="829"/>
      <c r="C32" s="829"/>
      <c r="D32" s="829"/>
      <c r="E32" s="829">
        <v>0.16385</v>
      </c>
      <c r="F32" s="829"/>
      <c r="G32" s="829"/>
      <c r="H32" s="829"/>
      <c r="I32" s="829"/>
      <c r="J32" s="829"/>
      <c r="K32" s="829">
        <v>0.47</v>
      </c>
      <c r="L32" s="829"/>
      <c r="M32" s="829"/>
      <c r="N32" s="829"/>
      <c r="O32" s="829">
        <v>103.23</v>
      </c>
      <c r="P32" s="829"/>
      <c r="Q32" s="830"/>
      <c r="R32" s="829">
        <f t="shared" si="4"/>
        <v>0</v>
      </c>
      <c r="S32" s="829">
        <f t="shared" si="4"/>
        <v>103.86385</v>
      </c>
      <c r="T32" s="830"/>
      <c r="U32" s="829">
        <f t="shared" si="5"/>
        <v>103.86385</v>
      </c>
    </row>
    <row r="33" spans="1:21">
      <c r="A33" s="832" t="s">
        <v>2207</v>
      </c>
      <c r="B33" s="834">
        <f t="shared" ref="B33:J33" si="6">SUM(B19:B32)</f>
        <v>59.215499999999999</v>
      </c>
      <c r="C33" s="834">
        <f t="shared" si="6"/>
        <v>0</v>
      </c>
      <c r="D33" s="834">
        <f>SUM(D19:D32)</f>
        <v>5.2024999999999997</v>
      </c>
      <c r="E33" s="834">
        <f t="shared" si="6"/>
        <v>11.062029999999998</v>
      </c>
      <c r="F33" s="834">
        <f t="shared" si="6"/>
        <v>0</v>
      </c>
      <c r="G33" s="834">
        <f t="shared" si="6"/>
        <v>0</v>
      </c>
      <c r="H33" s="834">
        <f t="shared" si="6"/>
        <v>0</v>
      </c>
      <c r="I33" s="834">
        <f t="shared" si="6"/>
        <v>0.54</v>
      </c>
      <c r="J33" s="834">
        <f t="shared" si="6"/>
        <v>0</v>
      </c>
      <c r="K33" s="834">
        <f>SUM(K19:K32)</f>
        <v>56.47</v>
      </c>
      <c r="L33" s="834">
        <f>SUM(L19:L32)</f>
        <v>0</v>
      </c>
      <c r="M33" s="834">
        <f>SUM(M19:M32)</f>
        <v>245.13</v>
      </c>
      <c r="N33" s="834">
        <f>SUM(N19:N32)</f>
        <v>0</v>
      </c>
      <c r="O33" s="834">
        <f>SUM(O19:O32)</f>
        <v>130.66</v>
      </c>
      <c r="P33" s="834"/>
      <c r="Q33" s="830"/>
      <c r="R33" s="829">
        <f t="shared" si="4"/>
        <v>64.417999999999992</v>
      </c>
      <c r="S33" s="829">
        <f t="shared" si="4"/>
        <v>443.86203</v>
      </c>
      <c r="T33" s="830"/>
      <c r="U33" s="829">
        <f t="shared" si="5"/>
        <v>508.28003000000001</v>
      </c>
    </row>
    <row r="34" spans="1:21">
      <c r="A34" s="832" t="s">
        <v>2208</v>
      </c>
      <c r="B34" s="834">
        <v>0</v>
      </c>
      <c r="C34" s="834">
        <v>0</v>
      </c>
      <c r="D34" s="834">
        <v>0</v>
      </c>
      <c r="E34" s="834">
        <v>2.78</v>
      </c>
      <c r="F34" s="834">
        <v>0</v>
      </c>
      <c r="G34" s="834">
        <v>0</v>
      </c>
      <c r="H34" s="834">
        <v>0</v>
      </c>
      <c r="I34" s="834">
        <v>0</v>
      </c>
      <c r="J34" s="834">
        <v>0</v>
      </c>
      <c r="K34" s="834">
        <v>0</v>
      </c>
      <c r="L34" s="834">
        <v>0</v>
      </c>
      <c r="M34" s="834">
        <f>[3]Garages!$D$16+[3]Garages!$G$16</f>
        <v>2.2200000000000002</v>
      </c>
      <c r="N34" s="834">
        <v>0</v>
      </c>
      <c r="O34" s="834">
        <v>0</v>
      </c>
      <c r="P34" s="834"/>
      <c r="Q34" s="830"/>
      <c r="R34" s="829">
        <f t="shared" si="4"/>
        <v>0</v>
      </c>
      <c r="S34" s="829">
        <f t="shared" si="4"/>
        <v>5</v>
      </c>
      <c r="T34" s="830"/>
      <c r="U34" s="829">
        <f t="shared" si="5"/>
        <v>5</v>
      </c>
    </row>
    <row r="35" spans="1:21">
      <c r="A35" s="832"/>
      <c r="B35" s="829"/>
      <c r="C35" s="829"/>
      <c r="D35" s="829"/>
      <c r="E35" s="829"/>
      <c r="F35" s="829"/>
      <c r="G35" s="829"/>
      <c r="H35" s="829"/>
      <c r="I35" s="829"/>
      <c r="J35" s="829"/>
      <c r="K35" s="834"/>
      <c r="L35" s="829"/>
      <c r="M35" s="829"/>
      <c r="N35" s="829"/>
      <c r="O35" s="829"/>
      <c r="P35" s="829"/>
      <c r="Q35" s="830"/>
      <c r="R35" s="829"/>
      <c r="S35" s="829"/>
      <c r="T35" s="830"/>
      <c r="U35" s="829"/>
    </row>
    <row r="36" spans="1:21">
      <c r="A36" s="832" t="s">
        <v>2209</v>
      </c>
      <c r="B36" s="829"/>
      <c r="C36" s="829"/>
      <c r="D36" s="829"/>
      <c r="E36" s="829"/>
      <c r="F36" s="829"/>
      <c r="G36" s="829"/>
      <c r="H36" s="829"/>
      <c r="I36" s="829"/>
      <c r="J36" s="829"/>
      <c r="K36" s="829"/>
      <c r="L36" s="829"/>
      <c r="M36" s="829"/>
      <c r="N36" s="829"/>
      <c r="O36" s="829"/>
      <c r="P36" s="829"/>
      <c r="Q36" s="830"/>
      <c r="R36" s="829"/>
      <c r="S36" s="829"/>
      <c r="T36" s="830"/>
      <c r="U36" s="829"/>
    </row>
    <row r="37" spans="1:21">
      <c r="A37" s="74" t="s">
        <v>2210</v>
      </c>
      <c r="B37" s="829"/>
      <c r="C37" s="829"/>
      <c r="D37" s="829"/>
      <c r="E37" s="829"/>
      <c r="F37" s="829"/>
      <c r="G37" s="829"/>
      <c r="H37" s="829"/>
      <c r="I37" s="829"/>
      <c r="J37" s="829">
        <v>9.35</v>
      </c>
      <c r="K37" s="829"/>
      <c r="L37" s="829"/>
      <c r="M37" s="829"/>
      <c r="N37" s="829"/>
      <c r="O37" s="829"/>
      <c r="P37" s="829"/>
      <c r="Q37" s="830"/>
      <c r="R37" s="829">
        <f t="shared" ref="R37:S44" si="7">SUM(B37+D37+F37+H37+J37+L37+N37)</f>
        <v>9.35</v>
      </c>
      <c r="S37" s="829">
        <f t="shared" si="7"/>
        <v>0</v>
      </c>
      <c r="T37" s="830"/>
      <c r="U37" s="829">
        <f>SUM(R37:S37)</f>
        <v>9.35</v>
      </c>
    </row>
    <row r="38" spans="1:21">
      <c r="A38" s="74" t="s">
        <v>2211</v>
      </c>
      <c r="B38" s="829"/>
      <c r="C38" s="829"/>
      <c r="D38" s="829"/>
      <c r="E38" s="829"/>
      <c r="F38" s="829"/>
      <c r="G38" s="829"/>
      <c r="H38" s="829"/>
      <c r="I38" s="829"/>
      <c r="J38" s="829"/>
      <c r="K38" s="829"/>
      <c r="L38" s="829"/>
      <c r="M38" s="829"/>
      <c r="N38" s="829"/>
      <c r="O38" s="829"/>
      <c r="P38" s="829"/>
      <c r="Q38" s="830"/>
      <c r="R38" s="829">
        <f t="shared" si="7"/>
        <v>0</v>
      </c>
      <c r="S38" s="829">
        <f t="shared" si="7"/>
        <v>0</v>
      </c>
      <c r="T38" s="830"/>
      <c r="U38" s="829">
        <f>SUM(R38:S38)</f>
        <v>0</v>
      </c>
    </row>
    <row r="39" spans="1:21">
      <c r="A39" s="74" t="s">
        <v>2212</v>
      </c>
      <c r="B39" s="829"/>
      <c r="C39" s="829"/>
      <c r="D39" s="829"/>
      <c r="E39" s="829"/>
      <c r="F39" s="829"/>
      <c r="G39" s="829"/>
      <c r="H39" s="829"/>
      <c r="I39" s="829"/>
      <c r="J39" s="829"/>
      <c r="K39" s="829"/>
      <c r="L39" s="829"/>
      <c r="M39" s="829"/>
      <c r="N39" s="829"/>
      <c r="O39" s="829"/>
      <c r="P39" s="829"/>
      <c r="Q39" s="830"/>
      <c r="R39" s="829">
        <f t="shared" si="7"/>
        <v>0</v>
      </c>
      <c r="S39" s="829">
        <f t="shared" si="7"/>
        <v>0</v>
      </c>
      <c r="T39" s="830"/>
      <c r="U39" s="829">
        <f t="shared" ref="U39:U44" si="8">SUM(R39:S39)</f>
        <v>0</v>
      </c>
    </row>
    <row r="40" spans="1:21">
      <c r="A40" s="74" t="s">
        <v>2213</v>
      </c>
      <c r="B40" s="829"/>
      <c r="C40" s="829"/>
      <c r="D40" s="829"/>
      <c r="E40" s="829"/>
      <c r="F40" s="829"/>
      <c r="G40" s="829"/>
      <c r="H40" s="829"/>
      <c r="I40" s="829"/>
      <c r="J40" s="829"/>
      <c r="K40" s="829"/>
      <c r="L40" s="829"/>
      <c r="M40" s="829"/>
      <c r="N40" s="829"/>
      <c r="O40" s="829"/>
      <c r="P40" s="829"/>
      <c r="Q40" s="830"/>
      <c r="R40" s="829">
        <f t="shared" si="7"/>
        <v>0</v>
      </c>
      <c r="S40" s="829">
        <f t="shared" si="7"/>
        <v>0</v>
      </c>
      <c r="T40" s="830"/>
      <c r="U40" s="829">
        <f t="shared" si="8"/>
        <v>0</v>
      </c>
    </row>
    <row r="41" spans="1:21">
      <c r="A41" s="74" t="s">
        <v>2214</v>
      </c>
      <c r="B41" s="829"/>
      <c r="C41" s="829"/>
      <c r="D41" s="829"/>
      <c r="E41" s="829"/>
      <c r="F41" s="829"/>
      <c r="G41" s="829"/>
      <c r="H41" s="829"/>
      <c r="I41" s="829"/>
      <c r="J41" s="829"/>
      <c r="K41" s="829">
        <v>0.06</v>
      </c>
      <c r="L41" s="829"/>
      <c r="M41" s="829"/>
      <c r="N41" s="829"/>
      <c r="O41" s="829"/>
      <c r="P41" s="829"/>
      <c r="Q41" s="830"/>
      <c r="R41" s="829">
        <f t="shared" si="7"/>
        <v>0</v>
      </c>
      <c r="S41" s="829">
        <f t="shared" si="7"/>
        <v>0.06</v>
      </c>
      <c r="T41" s="830"/>
      <c r="U41" s="829">
        <f t="shared" si="8"/>
        <v>0.06</v>
      </c>
    </row>
    <row r="42" spans="1:21">
      <c r="A42" s="74" t="s">
        <v>604</v>
      </c>
      <c r="B42" s="829"/>
      <c r="C42" s="829"/>
      <c r="D42" s="829"/>
      <c r="E42" s="829">
        <v>450</v>
      </c>
      <c r="F42" s="829"/>
      <c r="G42" s="829"/>
      <c r="H42" s="829"/>
      <c r="I42" s="829"/>
      <c r="J42" s="829">
        <v>6.65</v>
      </c>
      <c r="K42" s="829">
        <v>41.32</v>
      </c>
      <c r="L42" s="829"/>
      <c r="M42" s="829"/>
      <c r="N42" s="829"/>
      <c r="O42" s="829"/>
      <c r="P42" s="829"/>
      <c r="Q42" s="830"/>
      <c r="R42" s="829">
        <f t="shared" si="7"/>
        <v>6.65</v>
      </c>
      <c r="S42" s="829">
        <f>SUM(C42+G42+I42+K42+M42+O42)</f>
        <v>41.32</v>
      </c>
      <c r="T42" s="830"/>
      <c r="U42" s="829">
        <f t="shared" si="8"/>
        <v>47.97</v>
      </c>
    </row>
    <row r="43" spans="1:21">
      <c r="A43" s="832" t="s">
        <v>2215</v>
      </c>
      <c r="B43" s="834">
        <f>SUM(B37:B42)</f>
        <v>0</v>
      </c>
      <c r="C43" s="834">
        <f>SUM(C37:C42)</f>
        <v>0</v>
      </c>
      <c r="D43" s="834">
        <f>SUM(D37:D42)</f>
        <v>0</v>
      </c>
      <c r="E43" s="834">
        <f>SUM(E37:E42)-450</f>
        <v>0</v>
      </c>
      <c r="F43" s="834">
        <f>SUM(F37:F42)</f>
        <v>0</v>
      </c>
      <c r="G43" s="834">
        <f>SUM(G37:G42)</f>
        <v>0</v>
      </c>
      <c r="H43" s="834">
        <f>SUM(H37:H42)</f>
        <v>0</v>
      </c>
      <c r="I43" s="834">
        <f>SUM(I37:I42)</f>
        <v>0</v>
      </c>
      <c r="J43" s="834">
        <f>SUM(J37:J42)</f>
        <v>16</v>
      </c>
      <c r="K43" s="834">
        <f>SUM(K37+K38+K39+K40+K42)</f>
        <v>41.32</v>
      </c>
      <c r="L43" s="834">
        <v>0</v>
      </c>
      <c r="M43" s="834">
        <v>0</v>
      </c>
      <c r="N43" s="834">
        <f>SUM(N37:N42)</f>
        <v>0</v>
      </c>
      <c r="O43" s="834">
        <f>SUM(O37:O42)</f>
        <v>0</v>
      </c>
      <c r="P43" s="834"/>
      <c r="Q43" s="830"/>
      <c r="R43" s="829">
        <f t="shared" si="7"/>
        <v>16</v>
      </c>
      <c r="S43" s="829">
        <f t="shared" si="7"/>
        <v>41.32</v>
      </c>
      <c r="T43" s="830"/>
      <c r="U43" s="829">
        <f t="shared" si="8"/>
        <v>57.32</v>
      </c>
    </row>
    <row r="44" spans="1:21">
      <c r="A44" s="832" t="s">
        <v>2216</v>
      </c>
      <c r="B44" s="834">
        <v>0</v>
      </c>
      <c r="C44" s="834">
        <v>0</v>
      </c>
      <c r="D44" s="834">
        <v>0</v>
      </c>
      <c r="E44" s="834">
        <v>450</v>
      </c>
      <c r="F44" s="834">
        <v>0</v>
      </c>
      <c r="G44" s="834">
        <v>0</v>
      </c>
      <c r="H44" s="834">
        <v>0</v>
      </c>
      <c r="I44" s="834">
        <v>0</v>
      </c>
      <c r="J44" s="834">
        <v>0</v>
      </c>
      <c r="K44" s="834">
        <v>0</v>
      </c>
      <c r="L44" s="834">
        <v>0</v>
      </c>
      <c r="M44" s="834">
        <v>0</v>
      </c>
      <c r="N44" s="834">
        <v>0</v>
      </c>
      <c r="O44" s="834">
        <v>0</v>
      </c>
      <c r="P44" s="834"/>
      <c r="Q44" s="830"/>
      <c r="R44" s="829">
        <f t="shared" si="7"/>
        <v>0</v>
      </c>
      <c r="S44" s="829">
        <f t="shared" si="7"/>
        <v>450</v>
      </c>
      <c r="T44" s="830"/>
      <c r="U44" s="829">
        <f t="shared" si="8"/>
        <v>450</v>
      </c>
    </row>
    <row r="45" spans="1:21">
      <c r="A45" s="74"/>
      <c r="B45" s="829"/>
      <c r="C45" s="829"/>
      <c r="D45" s="829"/>
      <c r="E45" s="829"/>
      <c r="F45" s="829"/>
      <c r="G45" s="829"/>
      <c r="H45" s="829"/>
      <c r="I45" s="829"/>
      <c r="J45" s="829"/>
      <c r="K45" s="829"/>
      <c r="L45" s="829"/>
      <c r="M45" s="829"/>
      <c r="N45" s="829"/>
      <c r="O45" s="829"/>
      <c r="P45" s="829"/>
      <c r="Q45" s="830"/>
      <c r="R45" s="829"/>
      <c r="S45" s="829"/>
      <c r="T45" s="830"/>
      <c r="U45" s="829"/>
    </row>
    <row r="46" spans="1:21">
      <c r="A46" s="832" t="s">
        <v>2217</v>
      </c>
      <c r="B46" s="834">
        <f t="shared" ref="B46:J46" si="9">SUM(B16,B33,B43)</f>
        <v>1027.0055</v>
      </c>
      <c r="C46" s="834">
        <f t="shared" si="9"/>
        <v>3144.98</v>
      </c>
      <c r="D46" s="834">
        <f t="shared" si="9"/>
        <v>12.612499999999999</v>
      </c>
      <c r="E46" s="834">
        <f t="shared" si="9"/>
        <v>20.529029999999999</v>
      </c>
      <c r="F46" s="834">
        <f t="shared" si="9"/>
        <v>0</v>
      </c>
      <c r="G46" s="834">
        <f t="shared" si="9"/>
        <v>0</v>
      </c>
      <c r="H46" s="834">
        <f t="shared" si="9"/>
        <v>0</v>
      </c>
      <c r="I46" s="834">
        <f t="shared" si="9"/>
        <v>18.73</v>
      </c>
      <c r="J46" s="834">
        <f t="shared" si="9"/>
        <v>106.00000000000001</v>
      </c>
      <c r="K46" s="834">
        <f>SUM(K16,K33,K43)</f>
        <v>3235.57</v>
      </c>
      <c r="L46" s="834">
        <f>SUM(L16,L33,L43)</f>
        <v>0</v>
      </c>
      <c r="M46" s="834"/>
      <c r="N46" s="834">
        <f>SUM(N16,N33,N43)</f>
        <v>0</v>
      </c>
      <c r="O46" s="834">
        <f>SUM(O16,O33,O43)</f>
        <v>130.66</v>
      </c>
      <c r="P46" s="834"/>
      <c r="Q46" s="830"/>
      <c r="R46" s="836">
        <f>SUM(B46+D46+F46+H46+J46+L46+N46)</f>
        <v>1145.6179999999999</v>
      </c>
      <c r="S46" s="829">
        <f>SUM(C46+E46+G46+I46+K46+M46+O46)</f>
        <v>6550.4690300000002</v>
      </c>
      <c r="T46" s="830"/>
      <c r="U46" s="829">
        <f>SUM(R46:S46)</f>
        <v>7696.0870300000006</v>
      </c>
    </row>
    <row r="47" spans="1:21">
      <c r="A47" s="832" t="s">
        <v>2218</v>
      </c>
      <c r="B47" s="834">
        <f t="shared" ref="B47:J47" si="10">SUM(B34,B44)</f>
        <v>0</v>
      </c>
      <c r="C47" s="834">
        <f t="shared" si="10"/>
        <v>0</v>
      </c>
      <c r="D47" s="834">
        <f t="shared" si="10"/>
        <v>0</v>
      </c>
      <c r="E47" s="834">
        <f t="shared" si="10"/>
        <v>452.78</v>
      </c>
      <c r="F47" s="834">
        <f t="shared" si="10"/>
        <v>0</v>
      </c>
      <c r="G47" s="834">
        <f t="shared" si="10"/>
        <v>0</v>
      </c>
      <c r="H47" s="834">
        <f t="shared" si="10"/>
        <v>0</v>
      </c>
      <c r="I47" s="834">
        <f t="shared" si="10"/>
        <v>0</v>
      </c>
      <c r="J47" s="834">
        <f t="shared" si="10"/>
        <v>0</v>
      </c>
      <c r="K47" s="834">
        <v>0</v>
      </c>
      <c r="L47" s="834">
        <f>SUM(L34,L44)</f>
        <v>0</v>
      </c>
      <c r="M47" s="834"/>
      <c r="N47" s="834">
        <f>SUM(N34,N44)</f>
        <v>0</v>
      </c>
      <c r="O47" s="834">
        <f>SUM(O34,O44)</f>
        <v>0</v>
      </c>
      <c r="P47" s="834"/>
      <c r="Q47" s="830"/>
      <c r="R47" s="836">
        <f>SUM(B47+D47+F47+H47+J47+L47+N47)</f>
        <v>0</v>
      </c>
      <c r="S47" s="829">
        <f>SUM(C47+E47+G47+I47+K47+M47+O47)</f>
        <v>452.78</v>
      </c>
      <c r="T47" s="830"/>
      <c r="U47" s="829">
        <f>SUM(R47:S47)</f>
        <v>452.78</v>
      </c>
    </row>
    <row r="48" spans="1:21">
      <c r="A48" s="74"/>
      <c r="B48" s="829"/>
      <c r="C48" s="829"/>
      <c r="D48" s="829"/>
      <c r="E48" s="829"/>
      <c r="F48" s="829"/>
      <c r="G48" s="829"/>
      <c r="H48" s="829"/>
      <c r="I48" s="829"/>
      <c r="J48" s="829"/>
      <c r="K48" s="829"/>
      <c r="L48" s="829"/>
      <c r="M48" s="829"/>
      <c r="N48" s="829"/>
      <c r="O48" s="829"/>
      <c r="P48" s="829"/>
      <c r="Q48" s="830"/>
      <c r="R48" s="829"/>
      <c r="S48" s="829"/>
      <c r="T48" s="830"/>
      <c r="U48" s="829"/>
    </row>
    <row r="49" spans="1:21">
      <c r="A49" s="832" t="s">
        <v>2219</v>
      </c>
      <c r="B49" s="829"/>
      <c r="C49" s="829"/>
      <c r="D49" s="829"/>
      <c r="E49" s="829"/>
      <c r="F49" s="829"/>
      <c r="G49" s="829"/>
      <c r="H49" s="829"/>
      <c r="I49" s="829"/>
      <c r="J49" s="829"/>
      <c r="K49" s="829"/>
      <c r="L49" s="829"/>
      <c r="M49" s="829"/>
      <c r="N49" s="829"/>
      <c r="O49" s="829"/>
      <c r="P49" s="829"/>
      <c r="Q49" s="830"/>
      <c r="R49" s="829"/>
      <c r="S49" s="829"/>
      <c r="T49" s="830"/>
      <c r="U49" s="829"/>
    </row>
    <row r="50" spans="1:21">
      <c r="A50" s="74" t="s">
        <v>2220</v>
      </c>
      <c r="B50" s="834">
        <v>4165.43</v>
      </c>
      <c r="C50" s="829"/>
      <c r="D50" s="829"/>
      <c r="E50" s="829"/>
      <c r="F50" s="829"/>
      <c r="G50" s="829"/>
      <c r="H50" s="829"/>
      <c r="I50" s="829"/>
      <c r="J50" s="829"/>
      <c r="K50" s="829"/>
      <c r="L50" s="829"/>
      <c r="M50" s="829"/>
      <c r="N50" s="829"/>
      <c r="O50" s="829"/>
      <c r="P50" s="829"/>
      <c r="Q50" s="830"/>
      <c r="R50" s="829">
        <f>SUM(B50+D50+F50+H50+J50+L50+N50)</f>
        <v>4165.43</v>
      </c>
      <c r="S50" s="829"/>
      <c r="T50" s="830"/>
      <c r="U50" s="829">
        <f>SUM(R50:S50)</f>
        <v>4165.43</v>
      </c>
    </row>
    <row r="51" spans="1:21">
      <c r="A51" s="74" t="s">
        <v>2221</v>
      </c>
      <c r="B51" s="846">
        <v>61.73</v>
      </c>
      <c r="C51" s="829"/>
      <c r="D51" s="829"/>
      <c r="E51" s="829"/>
      <c r="F51" s="829"/>
      <c r="G51" s="829"/>
      <c r="H51" s="834">
        <v>111.7</v>
      </c>
      <c r="I51" s="829"/>
      <c r="J51" s="829"/>
      <c r="K51" s="829"/>
      <c r="L51" s="834">
        <v>834.4</v>
      </c>
      <c r="M51" s="829"/>
      <c r="N51" s="829"/>
      <c r="O51" s="834">
        <v>4</v>
      </c>
      <c r="P51" s="834"/>
      <c r="Q51" s="830"/>
      <c r="R51" s="829">
        <f>SUM(B51+D51+F51+H51+J51+L51+N51)</f>
        <v>1007.8299999999999</v>
      </c>
      <c r="S51" s="829"/>
      <c r="T51" s="830"/>
      <c r="U51" s="829">
        <f>SUM(R51:S51)</f>
        <v>1007.8299999999999</v>
      </c>
    </row>
    <row r="52" spans="1:21">
      <c r="A52" s="74" t="s">
        <v>2222</v>
      </c>
      <c r="B52" s="829"/>
      <c r="C52" s="829"/>
      <c r="D52" s="834">
        <f>5400+61.73+368.68</f>
        <v>5830.41</v>
      </c>
      <c r="E52" s="829"/>
      <c r="F52" s="829"/>
      <c r="G52" s="829"/>
      <c r="H52" s="829"/>
      <c r="I52" s="829"/>
      <c r="J52" s="833">
        <v>1954.21</v>
      </c>
      <c r="K52" s="829"/>
      <c r="L52" s="829"/>
      <c r="M52" s="829"/>
      <c r="N52" s="829"/>
      <c r="O52" s="829"/>
      <c r="P52" s="829"/>
      <c r="Q52" s="830"/>
      <c r="R52" s="829">
        <f>SUM(B52+D52+F52+H52+J52+L52+N52)</f>
        <v>7784.62</v>
      </c>
      <c r="S52" s="829">
        <f>SUM(C52,E52,G52,I52,K52,M52,O52)</f>
        <v>0</v>
      </c>
      <c r="T52" s="830"/>
      <c r="U52" s="829">
        <f>SUM(R52:S52)</f>
        <v>7784.62</v>
      </c>
    </row>
    <row r="53" spans="1:21">
      <c r="A53" s="74" t="s">
        <v>604</v>
      </c>
      <c r="B53" s="829"/>
      <c r="C53" s="829"/>
      <c r="D53" s="829"/>
      <c r="E53" s="829"/>
      <c r="F53" s="829"/>
      <c r="G53" s="829"/>
      <c r="H53" s="829"/>
      <c r="I53" s="829"/>
      <c r="J53" s="829"/>
      <c r="K53" s="829"/>
      <c r="L53" s="829"/>
      <c r="M53" s="829"/>
      <c r="N53" s="829"/>
      <c r="O53" s="829"/>
      <c r="P53" s="829">
        <v>485.28</v>
      </c>
      <c r="Q53" s="830"/>
      <c r="R53" s="829">
        <f>SUM(B53,D53,F53,H53,J53,L53,N53)</f>
        <v>0</v>
      </c>
      <c r="S53" s="829">
        <f>SUM(C53,E53,G53,I53,K53,M53,O53)</f>
        <v>0</v>
      </c>
      <c r="T53" s="830"/>
      <c r="U53" s="829">
        <f>SUM(R53:S53)</f>
        <v>0</v>
      </c>
    </row>
  </sheetData>
  <mergeCells count="8">
    <mergeCell ref="N3:O3"/>
    <mergeCell ref="R3:S3"/>
    <mergeCell ref="B3:C3"/>
    <mergeCell ref="D3:E3"/>
    <mergeCell ref="F3:G3"/>
    <mergeCell ref="H3:I3"/>
    <mergeCell ref="J3:K3"/>
    <mergeCell ref="L3:M3"/>
  </mergeCells>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dimension ref="A1:T52"/>
  <sheetViews>
    <sheetView workbookViewId="0">
      <selection sqref="A1:XFD2"/>
    </sheetView>
  </sheetViews>
  <sheetFormatPr defaultRowHeight="15"/>
  <cols>
    <col min="1" max="1" width="23.42578125" style="697" bestFit="1" customWidth="1"/>
    <col min="2" max="2" width="11.140625" style="697" bestFit="1" customWidth="1"/>
    <col min="3" max="3" width="11.140625" style="697" customWidth="1"/>
    <col min="4" max="5" width="9.140625" style="697"/>
    <col min="6" max="6" width="11.28515625" style="697" bestFit="1" customWidth="1"/>
    <col min="7" max="7" width="11.28515625" style="697" customWidth="1"/>
    <col min="8" max="8" width="8.85546875" style="697" bestFit="1" customWidth="1"/>
    <col min="9" max="9" width="8.85546875" style="697" customWidth="1"/>
    <col min="10" max="10" width="8.140625" style="697" bestFit="1" customWidth="1"/>
    <col min="11" max="11" width="8.140625" style="697" customWidth="1"/>
    <col min="12" max="12" width="11" style="697" bestFit="1" customWidth="1"/>
    <col min="13" max="15" width="11" style="697" customWidth="1"/>
    <col min="16" max="16" width="3.5703125" style="840" customWidth="1"/>
    <col min="17" max="17" width="8.5703125" style="697" bestFit="1" customWidth="1"/>
    <col min="18" max="18" width="9.140625" style="697"/>
    <col min="19" max="19" width="3.85546875" style="840" customWidth="1"/>
    <col min="20" max="20" width="24.140625" style="697" bestFit="1" customWidth="1"/>
    <col min="21" max="16384" width="9.140625" style="697"/>
  </cols>
  <sheetData>
    <row r="1" spans="1:20">
      <c r="A1" s="882" t="s">
        <v>2265</v>
      </c>
      <c r="B1" s="73"/>
      <c r="C1" s="73"/>
      <c r="D1" s="883"/>
      <c r="P1" s="697"/>
      <c r="S1" s="697"/>
    </row>
    <row r="2" spans="1:20">
      <c r="P2" s="697"/>
      <c r="S2" s="697"/>
    </row>
    <row r="3" spans="1:20">
      <c r="A3" s="74"/>
      <c r="B3" s="1214" t="s">
        <v>893</v>
      </c>
      <c r="C3" s="1214"/>
      <c r="D3" s="1214" t="s">
        <v>2172</v>
      </c>
      <c r="E3" s="1214"/>
      <c r="F3" s="1214" t="s">
        <v>2173</v>
      </c>
      <c r="G3" s="1214"/>
      <c r="H3" s="1214" t="s">
        <v>2174</v>
      </c>
      <c r="I3" s="1214"/>
      <c r="J3" s="1214" t="s">
        <v>2175</v>
      </c>
      <c r="K3" s="1214"/>
      <c r="L3" s="1214" t="s">
        <v>2176</v>
      </c>
      <c r="M3" s="1214"/>
      <c r="N3" s="1214" t="s">
        <v>2177</v>
      </c>
      <c r="O3" s="1214"/>
      <c r="P3" s="842"/>
      <c r="Q3" s="1214" t="s">
        <v>2178</v>
      </c>
      <c r="R3" s="1215"/>
      <c r="S3" s="843"/>
      <c r="T3" s="841" t="s">
        <v>2179</v>
      </c>
    </row>
    <row r="4" spans="1:20" s="698" customFormat="1">
      <c r="A4" s="844"/>
      <c r="B4" s="841" t="s">
        <v>2180</v>
      </c>
      <c r="C4" s="841" t="s">
        <v>604</v>
      </c>
      <c r="D4" s="841" t="s">
        <v>2180</v>
      </c>
      <c r="E4" s="841" t="s">
        <v>604</v>
      </c>
      <c r="F4" s="841" t="s">
        <v>2180</v>
      </c>
      <c r="G4" s="841" t="s">
        <v>604</v>
      </c>
      <c r="H4" s="841" t="s">
        <v>2180</v>
      </c>
      <c r="I4" s="841" t="s">
        <v>604</v>
      </c>
      <c r="J4" s="841" t="s">
        <v>2180</v>
      </c>
      <c r="K4" s="841" t="s">
        <v>604</v>
      </c>
      <c r="L4" s="841" t="s">
        <v>2180</v>
      </c>
      <c r="M4" s="841" t="s">
        <v>604</v>
      </c>
      <c r="N4" s="841" t="s">
        <v>2180</v>
      </c>
      <c r="O4" s="841" t="s">
        <v>604</v>
      </c>
      <c r="P4" s="842"/>
      <c r="Q4" s="841" t="s">
        <v>2180</v>
      </c>
      <c r="R4" s="841" t="s">
        <v>604</v>
      </c>
      <c r="S4" s="845"/>
      <c r="T4" s="844"/>
    </row>
    <row r="5" spans="1:20">
      <c r="A5" s="832" t="s">
        <v>2182</v>
      </c>
      <c r="B5" s="74"/>
      <c r="C5" s="74"/>
      <c r="D5" s="74"/>
      <c r="E5" s="74"/>
      <c r="F5" s="74"/>
      <c r="G5" s="74"/>
      <c r="H5" s="74"/>
      <c r="I5" s="74"/>
      <c r="J5" s="74"/>
      <c r="K5" s="74"/>
      <c r="L5" s="74"/>
      <c r="M5" s="74"/>
      <c r="N5" s="74"/>
      <c r="O5" s="74"/>
      <c r="P5" s="843"/>
      <c r="Q5" s="74"/>
      <c r="R5" s="74"/>
      <c r="S5" s="843"/>
      <c r="T5" s="74"/>
    </row>
    <row r="6" spans="1:20">
      <c r="A6" s="74" t="s">
        <v>2183</v>
      </c>
      <c r="B6" s="74">
        <v>489.01</v>
      </c>
      <c r="C6" s="74"/>
      <c r="D6" s="74">
        <v>0.48</v>
      </c>
      <c r="E6" s="74">
        <v>0.47499999999999998</v>
      </c>
      <c r="F6" s="74"/>
      <c r="G6" s="74"/>
      <c r="H6" s="74"/>
      <c r="I6" s="74">
        <v>1</v>
      </c>
      <c r="J6" s="74">
        <v>43.417999999999999</v>
      </c>
      <c r="K6" s="74">
        <v>1074.095</v>
      </c>
      <c r="L6" s="74">
        <v>1</v>
      </c>
      <c r="M6" s="74">
        <v>0.4</v>
      </c>
      <c r="N6" s="74"/>
      <c r="O6" s="74">
        <v>41.524999999999999</v>
      </c>
      <c r="P6" s="843"/>
      <c r="Q6" s="74">
        <f t="shared" ref="Q6:R15" si="0">SUM(B6,D6,F6,H6,J6,L6,N6)</f>
        <v>533.90800000000002</v>
      </c>
      <c r="R6" s="74">
        <f t="shared" si="0"/>
        <v>1117.4950000000001</v>
      </c>
      <c r="S6" s="843"/>
      <c r="T6" s="74">
        <f>SUM(Q6:R6)</f>
        <v>1651.4030000000002</v>
      </c>
    </row>
    <row r="7" spans="1:20">
      <c r="A7" s="74" t="s">
        <v>2184</v>
      </c>
      <c r="B7" s="74">
        <v>2</v>
      </c>
      <c r="C7" s="74"/>
      <c r="D7" s="74">
        <v>6.93</v>
      </c>
      <c r="E7" s="74">
        <v>20.329999999999998</v>
      </c>
      <c r="F7" s="74"/>
      <c r="G7" s="74"/>
      <c r="H7" s="74"/>
      <c r="I7" s="74"/>
      <c r="J7" s="74"/>
      <c r="K7" s="824">
        <v>1685.83</v>
      </c>
      <c r="L7" s="74"/>
      <c r="M7" s="74">
        <v>25.5</v>
      </c>
      <c r="N7" s="74"/>
      <c r="O7" s="74"/>
      <c r="P7" s="843"/>
      <c r="Q7" s="74">
        <f t="shared" si="0"/>
        <v>8.93</v>
      </c>
      <c r="R7" s="74">
        <f t="shared" si="0"/>
        <v>1731.6599999999999</v>
      </c>
      <c r="S7" s="843"/>
      <c r="T7" s="74">
        <f>SUM(Q7:R7)</f>
        <v>1740.59</v>
      </c>
    </row>
    <row r="8" spans="1:20">
      <c r="A8" s="74" t="s">
        <v>2185</v>
      </c>
      <c r="B8" s="74"/>
      <c r="C8" s="74"/>
      <c r="D8" s="74">
        <v>0.22</v>
      </c>
      <c r="E8" s="74"/>
      <c r="F8" s="74"/>
      <c r="G8" s="74"/>
      <c r="H8" s="74"/>
      <c r="I8" s="74"/>
      <c r="J8" s="74"/>
      <c r="K8" s="74">
        <v>28.51</v>
      </c>
      <c r="L8" s="74">
        <v>1.5</v>
      </c>
      <c r="M8" s="74"/>
      <c r="N8" s="74"/>
      <c r="O8" s="74"/>
      <c r="P8" s="843"/>
      <c r="Q8" s="74">
        <f t="shared" si="0"/>
        <v>1.72</v>
      </c>
      <c r="R8" s="74">
        <f t="shared" si="0"/>
        <v>28.51</v>
      </c>
      <c r="S8" s="843"/>
      <c r="T8" s="74">
        <f>SUM(Q8:R8)</f>
        <v>30.23</v>
      </c>
    </row>
    <row r="9" spans="1:20">
      <c r="A9" s="74" t="s">
        <v>2186</v>
      </c>
      <c r="B9" s="74"/>
      <c r="C9" s="74"/>
      <c r="D9" s="74"/>
      <c r="E9" s="74"/>
      <c r="F9" s="74"/>
      <c r="G9" s="74"/>
      <c r="H9" s="74"/>
      <c r="I9" s="74"/>
      <c r="J9" s="74"/>
      <c r="K9" s="74"/>
      <c r="L9" s="74"/>
      <c r="M9" s="74"/>
      <c r="N9" s="74"/>
      <c r="O9" s="74"/>
      <c r="P9" s="843"/>
      <c r="Q9" s="74">
        <f t="shared" si="0"/>
        <v>0</v>
      </c>
      <c r="R9" s="74">
        <f t="shared" si="0"/>
        <v>0</v>
      </c>
      <c r="S9" s="843"/>
      <c r="T9" s="74">
        <f t="shared" ref="T9:T15" si="1">SUM(Q9:R9)</f>
        <v>0</v>
      </c>
    </row>
    <row r="10" spans="1:20">
      <c r="A10" s="74" t="s">
        <v>2225</v>
      </c>
      <c r="B10" s="74">
        <v>446.34</v>
      </c>
      <c r="C10" s="74"/>
      <c r="D10" s="74"/>
      <c r="E10" s="74"/>
      <c r="F10" s="74"/>
      <c r="G10" s="74"/>
      <c r="H10" s="74"/>
      <c r="I10" s="74"/>
      <c r="J10" s="824">
        <v>0.34050000000000002</v>
      </c>
      <c r="K10" s="824">
        <v>5.04</v>
      </c>
      <c r="L10" s="74"/>
      <c r="M10" s="74">
        <v>4</v>
      </c>
      <c r="N10" s="74"/>
      <c r="O10" s="74"/>
      <c r="P10" s="843"/>
      <c r="Q10" s="74">
        <f t="shared" si="0"/>
        <v>446.68049999999999</v>
      </c>
      <c r="R10" s="74">
        <f t="shared" si="0"/>
        <v>9.0399999999999991</v>
      </c>
      <c r="S10" s="843"/>
      <c r="T10" s="74">
        <f t="shared" si="1"/>
        <v>455.72050000000002</v>
      </c>
    </row>
    <row r="11" spans="1:20">
      <c r="A11" s="74" t="s">
        <v>2188</v>
      </c>
      <c r="B11" s="74"/>
      <c r="C11" s="74">
        <v>919.27</v>
      </c>
      <c r="D11" s="74"/>
      <c r="E11" s="74"/>
      <c r="F11" s="74"/>
      <c r="G11" s="74"/>
      <c r="H11" s="74"/>
      <c r="I11" s="74"/>
      <c r="J11" s="74"/>
      <c r="K11" s="74"/>
      <c r="L11" s="74"/>
      <c r="M11" s="74"/>
      <c r="N11" s="74"/>
      <c r="O11" s="74"/>
      <c r="P11" s="843"/>
      <c r="Q11" s="74">
        <f t="shared" si="0"/>
        <v>0</v>
      </c>
      <c r="R11" s="74">
        <f t="shared" si="0"/>
        <v>919.27</v>
      </c>
      <c r="S11" s="843"/>
      <c r="T11" s="74">
        <f t="shared" si="1"/>
        <v>919.27</v>
      </c>
    </row>
    <row r="12" spans="1:20">
      <c r="A12" s="74" t="s">
        <v>2189</v>
      </c>
      <c r="B12" s="74"/>
      <c r="C12" s="847">
        <v>2285.08</v>
      </c>
      <c r="D12" s="74"/>
      <c r="E12" s="74"/>
      <c r="F12" s="74"/>
      <c r="G12" s="74"/>
      <c r="H12" s="74"/>
      <c r="I12" s="74"/>
      <c r="J12" s="74">
        <v>17.97</v>
      </c>
      <c r="K12" s="74">
        <v>139.58000000000001</v>
      </c>
      <c r="L12" s="74"/>
      <c r="M12" s="74"/>
      <c r="N12" s="74"/>
      <c r="O12" s="74"/>
      <c r="P12" s="843"/>
      <c r="Q12" s="74">
        <f t="shared" si="0"/>
        <v>17.97</v>
      </c>
      <c r="R12" s="74">
        <f t="shared" si="0"/>
        <v>2424.66</v>
      </c>
      <c r="S12" s="843"/>
      <c r="T12" s="74">
        <f t="shared" si="1"/>
        <v>2442.6299999999997</v>
      </c>
    </row>
    <row r="13" spans="1:20">
      <c r="A13" s="74" t="s">
        <v>2190</v>
      </c>
      <c r="B13" s="74"/>
      <c r="C13" s="74"/>
      <c r="D13" s="74"/>
      <c r="E13" s="74"/>
      <c r="F13" s="74"/>
      <c r="G13" s="74"/>
      <c r="H13" s="74"/>
      <c r="I13" s="74"/>
      <c r="J13" s="74"/>
      <c r="K13" s="824">
        <v>876.7</v>
      </c>
      <c r="L13" s="74"/>
      <c r="M13" s="74"/>
      <c r="N13" s="74"/>
      <c r="O13" s="74"/>
      <c r="P13" s="843"/>
      <c r="Q13" s="74">
        <f t="shared" si="0"/>
        <v>0</v>
      </c>
      <c r="R13" s="74">
        <f t="shared" si="0"/>
        <v>876.7</v>
      </c>
      <c r="S13" s="843"/>
      <c r="T13" s="74">
        <f t="shared" si="1"/>
        <v>876.7</v>
      </c>
    </row>
    <row r="14" spans="1:20">
      <c r="A14" s="74" t="s">
        <v>2191</v>
      </c>
      <c r="B14" s="74"/>
      <c r="C14" s="74"/>
      <c r="D14" s="74"/>
      <c r="E14" s="74"/>
      <c r="F14" s="74"/>
      <c r="G14" s="74"/>
      <c r="H14" s="74"/>
      <c r="I14" s="74"/>
      <c r="J14" s="74"/>
      <c r="K14" s="74"/>
      <c r="L14" s="74"/>
      <c r="M14" s="74"/>
      <c r="N14" s="74"/>
      <c r="O14" s="74"/>
      <c r="P14" s="843"/>
      <c r="Q14" s="74">
        <f t="shared" si="0"/>
        <v>0</v>
      </c>
      <c r="R14" s="74">
        <f t="shared" si="0"/>
        <v>0</v>
      </c>
      <c r="S14" s="843"/>
      <c r="T14" s="74">
        <f t="shared" si="1"/>
        <v>0</v>
      </c>
    </row>
    <row r="15" spans="1:20">
      <c r="A15" s="832" t="s">
        <v>2192</v>
      </c>
      <c r="B15" s="848">
        <f>SUM(B6:B14)</f>
        <v>937.34999999999991</v>
      </c>
      <c r="C15" s="848">
        <f>SUM(C5:C14)</f>
        <v>3204.35</v>
      </c>
      <c r="D15" s="848">
        <f t="shared" ref="D15:I15" si="2">SUM(D6:D14)</f>
        <v>7.63</v>
      </c>
      <c r="E15" s="848">
        <f t="shared" si="2"/>
        <v>20.805</v>
      </c>
      <c r="F15" s="848">
        <f t="shared" si="2"/>
        <v>0</v>
      </c>
      <c r="G15" s="848">
        <f t="shared" si="2"/>
        <v>0</v>
      </c>
      <c r="H15" s="848">
        <f t="shared" si="2"/>
        <v>0</v>
      </c>
      <c r="I15" s="848">
        <f t="shared" si="2"/>
        <v>1</v>
      </c>
      <c r="J15" s="848">
        <f>SUM(J5:J14)</f>
        <v>61.728499999999997</v>
      </c>
      <c r="K15" s="848">
        <f>SUM(K5:K14)</f>
        <v>3809.7550000000001</v>
      </c>
      <c r="L15" s="848">
        <f>SUM(L6:L14)</f>
        <v>2.5</v>
      </c>
      <c r="M15" s="848">
        <f>SUM(M6:M14)</f>
        <v>29.9</v>
      </c>
      <c r="N15" s="848">
        <f>SUM(N6:N14)</f>
        <v>0</v>
      </c>
      <c r="O15" s="848">
        <f>SUM(O6:O14)</f>
        <v>41.524999999999999</v>
      </c>
      <c r="P15" s="843"/>
      <c r="Q15" s="74">
        <f t="shared" si="0"/>
        <v>1009.2085</v>
      </c>
      <c r="R15" s="74">
        <f t="shared" si="0"/>
        <v>7107.3349999999991</v>
      </c>
      <c r="S15" s="843"/>
      <c r="T15" s="74">
        <f t="shared" si="1"/>
        <v>8116.5434999999989</v>
      </c>
    </row>
    <row r="16" spans="1:20">
      <c r="A16" s="74"/>
      <c r="B16" s="74"/>
      <c r="C16" s="74"/>
      <c r="D16" s="74"/>
      <c r="E16" s="74"/>
      <c r="F16" s="74"/>
      <c r="G16" s="74"/>
      <c r="H16" s="74"/>
      <c r="I16" s="74"/>
      <c r="J16" s="74"/>
      <c r="K16" s="74"/>
      <c r="L16" s="74"/>
      <c r="M16" s="74"/>
      <c r="N16" s="74"/>
      <c r="O16" s="74"/>
      <c r="P16" s="843"/>
      <c r="Q16" s="74"/>
      <c r="R16" s="74"/>
      <c r="S16" s="843"/>
      <c r="T16" s="74"/>
    </row>
    <row r="17" spans="1:20">
      <c r="A17" s="832" t="s">
        <v>2193</v>
      </c>
      <c r="B17" s="74"/>
      <c r="C17" s="74"/>
      <c r="D17" s="74"/>
      <c r="E17" s="74"/>
      <c r="F17" s="74"/>
      <c r="G17" s="74"/>
      <c r="H17" s="74"/>
      <c r="I17" s="74"/>
      <c r="J17" s="74"/>
      <c r="K17" s="74"/>
      <c r="L17" s="74"/>
      <c r="M17" s="74"/>
      <c r="N17" s="74"/>
      <c r="O17" s="74"/>
      <c r="P17" s="843"/>
      <c r="Q17" s="74"/>
      <c r="R17" s="74"/>
      <c r="S17" s="843"/>
      <c r="T17" s="74"/>
    </row>
    <row r="18" spans="1:20">
      <c r="A18" s="74" t="s">
        <v>2194</v>
      </c>
      <c r="B18" s="74">
        <v>1.2975000000000001</v>
      </c>
      <c r="C18" s="74"/>
      <c r="D18" s="74">
        <v>4.6275000000000004</v>
      </c>
      <c r="E18" s="74"/>
      <c r="F18" s="74"/>
      <c r="G18" s="74"/>
      <c r="H18" s="74"/>
      <c r="I18" s="74"/>
      <c r="J18" s="74"/>
      <c r="K18" s="74"/>
      <c r="L18" s="74">
        <v>15.734999999999999</v>
      </c>
      <c r="M18" s="74">
        <v>20.6875</v>
      </c>
      <c r="N18" s="74"/>
      <c r="O18" s="74"/>
      <c r="P18" s="843"/>
      <c r="Q18" s="74">
        <f t="shared" ref="Q18:R33" si="3">SUM(B18,D18,F18,H18,J18,L18,N18)</f>
        <v>21.66</v>
      </c>
      <c r="R18" s="74">
        <f t="shared" si="3"/>
        <v>20.6875</v>
      </c>
      <c r="S18" s="843"/>
      <c r="T18" s="74">
        <f>SUM(Q18:R18)</f>
        <v>42.347499999999997</v>
      </c>
    </row>
    <row r="19" spans="1:20">
      <c r="A19" s="74" t="s">
        <v>2195</v>
      </c>
      <c r="B19" s="74"/>
      <c r="C19" s="74"/>
      <c r="D19" s="74"/>
      <c r="E19" s="74">
        <v>7.8902999999999999</v>
      </c>
      <c r="F19" s="74"/>
      <c r="G19" s="74"/>
      <c r="H19" s="74"/>
      <c r="I19" s="74"/>
      <c r="J19" s="74"/>
      <c r="K19" s="74">
        <v>0.2</v>
      </c>
      <c r="L19" s="74"/>
      <c r="M19" s="74">
        <v>116.8952</v>
      </c>
      <c r="N19" s="74"/>
      <c r="O19" s="74"/>
      <c r="P19" s="843"/>
      <c r="Q19" s="74">
        <f t="shared" si="3"/>
        <v>0</v>
      </c>
      <c r="R19" s="74">
        <f t="shared" si="3"/>
        <v>124.9855</v>
      </c>
      <c r="S19" s="843"/>
      <c r="T19" s="74">
        <f>SUM(Q19:R19)</f>
        <v>124.9855</v>
      </c>
    </row>
    <row r="20" spans="1:20">
      <c r="A20" s="74" t="s">
        <v>2224</v>
      </c>
      <c r="B20" s="74"/>
      <c r="C20" s="74"/>
      <c r="D20" s="74"/>
      <c r="E20" s="74"/>
      <c r="F20" s="74"/>
      <c r="G20" s="74"/>
      <c r="H20" s="74"/>
      <c r="I20" s="74"/>
      <c r="J20" s="74"/>
      <c r="K20" s="74"/>
      <c r="L20" s="74"/>
      <c r="M20" s="74">
        <v>3</v>
      </c>
      <c r="N20" s="74"/>
      <c r="O20" s="74"/>
      <c r="P20" s="843"/>
      <c r="Q20" s="74">
        <f t="shared" si="3"/>
        <v>0</v>
      </c>
      <c r="R20" s="74">
        <f t="shared" si="3"/>
        <v>3</v>
      </c>
      <c r="S20" s="843"/>
      <c r="T20" s="74">
        <f t="shared" ref="T20:T33" si="4">SUM(Q20:R20)</f>
        <v>3</v>
      </c>
    </row>
    <row r="21" spans="1:20">
      <c r="A21" s="74" t="s">
        <v>2197</v>
      </c>
      <c r="B21" s="74"/>
      <c r="C21" s="74"/>
      <c r="D21" s="74"/>
      <c r="E21" s="74"/>
      <c r="F21" s="74"/>
      <c r="G21" s="74"/>
      <c r="H21" s="74"/>
      <c r="I21" s="74"/>
      <c r="J21" s="74"/>
      <c r="K21" s="824">
        <v>5.2625000000000002</v>
      </c>
      <c r="L21" s="74"/>
      <c r="M21" s="74">
        <v>9.1440000000000001</v>
      </c>
      <c r="N21" s="74"/>
      <c r="O21" s="74"/>
      <c r="P21" s="843"/>
      <c r="Q21" s="74">
        <f t="shared" si="3"/>
        <v>0</v>
      </c>
      <c r="R21" s="74">
        <f t="shared" si="3"/>
        <v>14.406500000000001</v>
      </c>
      <c r="S21" s="843"/>
      <c r="T21" s="74">
        <f t="shared" si="4"/>
        <v>14.406500000000001</v>
      </c>
    </row>
    <row r="22" spans="1:20">
      <c r="A22" s="74" t="s">
        <v>2198</v>
      </c>
      <c r="B22" s="74"/>
      <c r="C22" s="74"/>
      <c r="D22" s="74"/>
      <c r="E22" s="74"/>
      <c r="F22" s="74"/>
      <c r="G22" s="74"/>
      <c r="H22" s="74"/>
      <c r="I22" s="74"/>
      <c r="J22" s="74"/>
      <c r="K22" s="74"/>
      <c r="L22" s="74"/>
      <c r="M22" s="824">
        <v>7.6287500000000001</v>
      </c>
      <c r="N22" s="74"/>
      <c r="O22" s="74"/>
      <c r="P22" s="843"/>
      <c r="Q22" s="74">
        <f t="shared" si="3"/>
        <v>0</v>
      </c>
      <c r="R22" s="74">
        <f t="shared" si="3"/>
        <v>7.6287500000000001</v>
      </c>
      <c r="S22" s="843"/>
      <c r="T22" s="74">
        <f t="shared" si="4"/>
        <v>7.6287500000000001</v>
      </c>
    </row>
    <row r="23" spans="1:20">
      <c r="A23" s="74" t="s">
        <v>2199</v>
      </c>
      <c r="B23" s="74"/>
      <c r="C23" s="74"/>
      <c r="D23" s="74"/>
      <c r="E23" s="74">
        <v>0.30149999999999999</v>
      </c>
      <c r="F23" s="74"/>
      <c r="G23" s="74"/>
      <c r="H23" s="74"/>
      <c r="I23" s="74"/>
      <c r="J23" s="74"/>
      <c r="K23" s="74">
        <v>45.5</v>
      </c>
      <c r="L23" s="74"/>
      <c r="M23" s="74"/>
      <c r="N23" s="74"/>
      <c r="O23" s="74"/>
      <c r="P23" s="843"/>
      <c r="Q23" s="74">
        <f t="shared" si="3"/>
        <v>0</v>
      </c>
      <c r="R23" s="74">
        <f t="shared" si="3"/>
        <v>45.801499999999997</v>
      </c>
      <c r="S23" s="843"/>
      <c r="T23" s="74">
        <f t="shared" si="4"/>
        <v>45.801499999999997</v>
      </c>
    </row>
    <row r="24" spans="1:20">
      <c r="A24" s="74" t="s">
        <v>2200</v>
      </c>
      <c r="B24" s="74"/>
      <c r="C24" s="74"/>
      <c r="D24" s="74"/>
      <c r="E24" s="74"/>
      <c r="F24" s="74"/>
      <c r="G24" s="74"/>
      <c r="H24" s="74"/>
      <c r="I24" s="74"/>
      <c r="J24" s="74"/>
      <c r="K24" s="74"/>
      <c r="L24" s="74"/>
      <c r="M24" s="74">
        <v>32</v>
      </c>
      <c r="N24" s="74"/>
      <c r="O24" s="74"/>
      <c r="P24" s="843"/>
      <c r="Q24" s="74">
        <f t="shared" si="3"/>
        <v>0</v>
      </c>
      <c r="R24" s="74">
        <f t="shared" si="3"/>
        <v>32</v>
      </c>
      <c r="S24" s="843"/>
      <c r="T24" s="74">
        <f t="shared" si="4"/>
        <v>32</v>
      </c>
    </row>
    <row r="25" spans="1:20">
      <c r="A25" s="74" t="s">
        <v>2201</v>
      </c>
      <c r="B25" s="74"/>
      <c r="C25" s="74"/>
      <c r="D25" s="74"/>
      <c r="E25" s="74">
        <v>2.3450000000000002</v>
      </c>
      <c r="F25" s="74"/>
      <c r="G25" s="74"/>
      <c r="H25" s="74"/>
      <c r="I25" s="74"/>
      <c r="J25" s="74"/>
      <c r="K25" s="74"/>
      <c r="L25" s="74"/>
      <c r="M25" s="74">
        <v>87.006</v>
      </c>
      <c r="N25" s="74"/>
      <c r="O25" s="74"/>
      <c r="P25" s="843"/>
      <c r="Q25" s="74">
        <f t="shared" si="3"/>
        <v>0</v>
      </c>
      <c r="R25" s="74">
        <f t="shared" si="3"/>
        <v>89.350999999999999</v>
      </c>
      <c r="S25" s="843"/>
      <c r="T25" s="74">
        <f t="shared" si="4"/>
        <v>89.350999999999999</v>
      </c>
    </row>
    <row r="26" spans="1:20">
      <c r="A26" s="74" t="s">
        <v>2202</v>
      </c>
      <c r="B26" s="74"/>
      <c r="C26" s="74"/>
      <c r="D26" s="74"/>
      <c r="E26" s="74"/>
      <c r="F26" s="74"/>
      <c r="G26" s="74"/>
      <c r="H26" s="74"/>
      <c r="I26" s="74"/>
      <c r="J26" s="74"/>
      <c r="K26" s="74"/>
      <c r="L26" s="74"/>
      <c r="M26" s="74"/>
      <c r="N26" s="74"/>
      <c r="O26" s="74"/>
      <c r="P26" s="843"/>
      <c r="Q26" s="74">
        <f t="shared" si="3"/>
        <v>0</v>
      </c>
      <c r="R26" s="74">
        <f t="shared" si="3"/>
        <v>0</v>
      </c>
      <c r="S26" s="843"/>
      <c r="T26" s="74">
        <f t="shared" si="4"/>
        <v>0</v>
      </c>
    </row>
    <row r="27" spans="1:20">
      <c r="A27" s="74" t="s">
        <v>2203</v>
      </c>
      <c r="B27" s="74">
        <v>0.79949999999999999</v>
      </c>
      <c r="C27" s="74"/>
      <c r="D27" s="74">
        <v>8.8999999999999996E-2</v>
      </c>
      <c r="E27" s="74">
        <v>6.6000000000000003E-2</v>
      </c>
      <c r="F27" s="74"/>
      <c r="G27" s="74"/>
      <c r="H27" s="74"/>
      <c r="I27" s="74">
        <v>0.14000000000000001</v>
      </c>
      <c r="J27" s="74"/>
      <c r="K27" s="824">
        <v>0.13550000000000001</v>
      </c>
      <c r="L27" s="74"/>
      <c r="M27" s="74"/>
      <c r="N27" s="74"/>
      <c r="O27" s="74"/>
      <c r="P27" s="843"/>
      <c r="Q27" s="74">
        <f t="shared" si="3"/>
        <v>0.88849999999999996</v>
      </c>
      <c r="R27" s="74">
        <f t="shared" si="3"/>
        <v>0.34150000000000003</v>
      </c>
      <c r="S27" s="843"/>
      <c r="T27" s="74">
        <f t="shared" si="4"/>
        <v>1.23</v>
      </c>
    </row>
    <row r="28" spans="1:20">
      <c r="A28" s="74" t="s">
        <v>2204</v>
      </c>
      <c r="B28" s="74">
        <v>38.24</v>
      </c>
      <c r="C28" s="74"/>
      <c r="D28" s="74">
        <v>0.84299999999999997</v>
      </c>
      <c r="E28" s="74"/>
      <c r="F28" s="74"/>
      <c r="G28" s="74"/>
      <c r="H28" s="74">
        <v>3.3250000000000002</v>
      </c>
      <c r="I28" s="74">
        <v>3.3250000000000002</v>
      </c>
      <c r="J28" s="74"/>
      <c r="K28" s="74">
        <v>15</v>
      </c>
      <c r="L28" s="74"/>
      <c r="M28" s="74"/>
      <c r="N28" s="74"/>
      <c r="O28" s="74"/>
      <c r="P28" s="843"/>
      <c r="Q28" s="74">
        <f t="shared" si="3"/>
        <v>42.408000000000001</v>
      </c>
      <c r="R28" s="74">
        <f t="shared" si="3"/>
        <v>18.324999999999999</v>
      </c>
      <c r="S28" s="843"/>
      <c r="T28" s="74">
        <f t="shared" si="4"/>
        <v>60.733000000000004</v>
      </c>
    </row>
    <row r="29" spans="1:20">
      <c r="A29" s="74" t="s">
        <v>2205</v>
      </c>
      <c r="B29" s="74"/>
      <c r="C29" s="74"/>
      <c r="D29" s="74"/>
      <c r="E29" s="74"/>
      <c r="F29" s="74"/>
      <c r="G29" s="74"/>
      <c r="H29" s="74"/>
      <c r="I29" s="74"/>
      <c r="J29" s="74"/>
      <c r="K29" s="74"/>
      <c r="L29" s="74"/>
      <c r="M29" s="74"/>
      <c r="N29" s="74"/>
      <c r="O29" s="74"/>
      <c r="P29" s="843"/>
      <c r="Q29" s="74">
        <f t="shared" si="3"/>
        <v>0</v>
      </c>
      <c r="R29" s="74">
        <f t="shared" si="3"/>
        <v>0</v>
      </c>
      <c r="S29" s="843"/>
      <c r="T29" s="74">
        <f t="shared" si="4"/>
        <v>0</v>
      </c>
    </row>
    <row r="30" spans="1:20">
      <c r="A30" s="74" t="s">
        <v>2206</v>
      </c>
      <c r="B30" s="74"/>
      <c r="C30" s="74"/>
      <c r="D30" s="74"/>
      <c r="E30" s="74"/>
      <c r="F30" s="74"/>
      <c r="G30" s="74"/>
      <c r="H30" s="74"/>
      <c r="I30" s="74">
        <v>0.3725</v>
      </c>
      <c r="J30" s="74"/>
      <c r="K30" s="74"/>
      <c r="L30" s="74"/>
      <c r="M30" s="74"/>
      <c r="N30" s="74"/>
      <c r="O30" s="74">
        <v>76.64</v>
      </c>
      <c r="P30" s="843"/>
      <c r="Q30" s="74">
        <f t="shared" si="3"/>
        <v>0</v>
      </c>
      <c r="R30" s="74">
        <f t="shared" si="3"/>
        <v>77.012500000000003</v>
      </c>
      <c r="S30" s="843"/>
      <c r="T30" s="74">
        <f t="shared" si="4"/>
        <v>77.012500000000003</v>
      </c>
    </row>
    <row r="31" spans="1:20">
      <c r="A31" s="74" t="s">
        <v>604</v>
      </c>
      <c r="B31" s="74"/>
      <c r="C31" s="74"/>
      <c r="D31" s="74"/>
      <c r="E31" s="74">
        <v>7.8399999999999997E-2</v>
      </c>
      <c r="F31" s="74"/>
      <c r="G31" s="74"/>
      <c r="H31" s="74"/>
      <c r="I31" s="74"/>
      <c r="J31" s="74"/>
      <c r="K31" s="74">
        <v>16.945</v>
      </c>
      <c r="L31" s="74"/>
      <c r="M31" s="74"/>
      <c r="N31" s="74"/>
      <c r="O31" s="74"/>
      <c r="P31" s="843"/>
      <c r="Q31" s="74">
        <f t="shared" si="3"/>
        <v>0</v>
      </c>
      <c r="R31" s="74">
        <f t="shared" si="3"/>
        <v>17.023399999999999</v>
      </c>
      <c r="S31" s="843"/>
      <c r="T31" s="74">
        <f t="shared" si="4"/>
        <v>17.023399999999999</v>
      </c>
    </row>
    <row r="32" spans="1:20">
      <c r="A32" s="832" t="s">
        <v>2207</v>
      </c>
      <c r="B32" s="848">
        <f t="shared" ref="B32:J32" si="5">SUM(B18:B31)</f>
        <v>40.337000000000003</v>
      </c>
      <c r="C32" s="848">
        <f t="shared" si="5"/>
        <v>0</v>
      </c>
      <c r="D32" s="848">
        <f t="shared" si="5"/>
        <v>5.5595000000000008</v>
      </c>
      <c r="E32" s="848">
        <f t="shared" si="5"/>
        <v>10.681200000000002</v>
      </c>
      <c r="F32" s="848">
        <f t="shared" si="5"/>
        <v>0</v>
      </c>
      <c r="G32" s="848">
        <f t="shared" si="5"/>
        <v>0</v>
      </c>
      <c r="H32" s="848">
        <f t="shared" si="5"/>
        <v>3.3250000000000002</v>
      </c>
      <c r="I32" s="848">
        <f t="shared" si="5"/>
        <v>3.8375000000000004</v>
      </c>
      <c r="J32" s="848">
        <f t="shared" si="5"/>
        <v>0</v>
      </c>
      <c r="K32" s="848">
        <f>SUM(K18:K31)-17.7</f>
        <v>65.343000000000004</v>
      </c>
      <c r="L32" s="848">
        <f>SUM(L18:L31)</f>
        <v>15.734999999999999</v>
      </c>
      <c r="M32" s="848">
        <f>SUM(M18:M31)-8.72</f>
        <v>267.64144999999996</v>
      </c>
      <c r="N32" s="848">
        <f>SUM(N18:N31)</f>
        <v>0</v>
      </c>
      <c r="O32" s="848">
        <f>SUM(O18:O31)</f>
        <v>76.64</v>
      </c>
      <c r="P32" s="843"/>
      <c r="Q32" s="74">
        <f t="shared" si="3"/>
        <v>64.956500000000005</v>
      </c>
      <c r="R32" s="74">
        <f t="shared" si="3"/>
        <v>424.14314999999999</v>
      </c>
      <c r="S32" s="843"/>
      <c r="T32" s="74">
        <f t="shared" si="4"/>
        <v>489.09965</v>
      </c>
    </row>
    <row r="33" spans="1:20">
      <c r="A33" s="832" t="s">
        <v>2208</v>
      </c>
      <c r="B33" s="848">
        <v>0</v>
      </c>
      <c r="C33" s="848">
        <v>0</v>
      </c>
      <c r="D33" s="848">
        <v>0</v>
      </c>
      <c r="E33" s="848">
        <v>0</v>
      </c>
      <c r="F33" s="848">
        <v>0</v>
      </c>
      <c r="G33" s="848">
        <v>0</v>
      </c>
      <c r="H33" s="848">
        <v>0</v>
      </c>
      <c r="I33" s="848">
        <v>0</v>
      </c>
      <c r="J33" s="848">
        <v>0</v>
      </c>
      <c r="K33" s="848">
        <v>17.7</v>
      </c>
      <c r="L33" s="848">
        <v>0</v>
      </c>
      <c r="M33" s="848">
        <v>8.7200000000000006</v>
      </c>
      <c r="N33" s="848">
        <v>0</v>
      </c>
      <c r="O33" s="848">
        <v>0</v>
      </c>
      <c r="P33" s="843"/>
      <c r="Q33" s="74">
        <f t="shared" si="3"/>
        <v>0</v>
      </c>
      <c r="R33" s="74">
        <f t="shared" si="3"/>
        <v>26.42</v>
      </c>
      <c r="S33" s="843"/>
      <c r="T33" s="74">
        <f t="shared" si="4"/>
        <v>26.42</v>
      </c>
    </row>
    <row r="34" spans="1:20">
      <c r="A34" s="832"/>
      <c r="B34" s="74"/>
      <c r="C34" s="74"/>
      <c r="D34" s="74"/>
      <c r="E34" s="74"/>
      <c r="F34" s="74"/>
      <c r="G34" s="74"/>
      <c r="H34" s="74"/>
      <c r="I34" s="74"/>
      <c r="J34" s="74"/>
      <c r="K34" s="848"/>
      <c r="L34" s="74"/>
      <c r="M34" s="74"/>
      <c r="N34" s="74"/>
      <c r="O34" s="74"/>
      <c r="P34" s="843"/>
      <c r="Q34" s="74"/>
      <c r="R34" s="74"/>
      <c r="S34" s="843"/>
      <c r="T34" s="74"/>
    </row>
    <row r="35" spans="1:20">
      <c r="A35" s="832" t="s">
        <v>2209</v>
      </c>
      <c r="B35" s="74"/>
      <c r="C35" s="74"/>
      <c r="D35" s="74"/>
      <c r="E35" s="74"/>
      <c r="F35" s="74"/>
      <c r="G35" s="74"/>
      <c r="H35" s="74"/>
      <c r="I35" s="74"/>
      <c r="J35" s="74"/>
      <c r="K35" s="74"/>
      <c r="L35" s="74"/>
      <c r="M35" s="74"/>
      <c r="N35" s="74"/>
      <c r="O35" s="74"/>
      <c r="P35" s="843"/>
      <c r="Q35" s="74"/>
      <c r="R35" s="74"/>
      <c r="S35" s="843"/>
      <c r="T35" s="74"/>
    </row>
    <row r="36" spans="1:20">
      <c r="A36" s="74" t="s">
        <v>2210</v>
      </c>
      <c r="B36" s="74"/>
      <c r="C36" s="74"/>
      <c r="D36" s="74"/>
      <c r="E36" s="74"/>
      <c r="F36" s="74"/>
      <c r="G36" s="74"/>
      <c r="H36" s="74"/>
      <c r="I36" s="74"/>
      <c r="J36" s="74"/>
      <c r="K36" s="74"/>
      <c r="L36" s="74"/>
      <c r="M36" s="74"/>
      <c r="N36" s="74"/>
      <c r="O36" s="74"/>
      <c r="P36" s="843"/>
      <c r="Q36" s="74">
        <f t="shared" ref="Q36:R43" si="6">SUM(B36,D36,F36,H36,J36,L36,N36)</f>
        <v>0</v>
      </c>
      <c r="R36" s="74">
        <f t="shared" si="6"/>
        <v>0</v>
      </c>
      <c r="S36" s="843"/>
      <c r="T36" s="74">
        <f>SUM(Q36:R36)</f>
        <v>0</v>
      </c>
    </row>
    <row r="37" spans="1:20">
      <c r="A37" s="74" t="s">
        <v>2211</v>
      </c>
      <c r="B37" s="74"/>
      <c r="C37" s="74"/>
      <c r="D37" s="74"/>
      <c r="E37" s="74"/>
      <c r="F37" s="74"/>
      <c r="G37" s="74"/>
      <c r="H37" s="74"/>
      <c r="I37" s="74"/>
      <c r="J37" s="74"/>
      <c r="K37" s="74"/>
      <c r="L37" s="74"/>
      <c r="M37" s="74"/>
      <c r="N37" s="74"/>
      <c r="O37" s="74"/>
      <c r="P37" s="843"/>
      <c r="Q37" s="74">
        <f t="shared" si="6"/>
        <v>0</v>
      </c>
      <c r="R37" s="74">
        <f t="shared" si="6"/>
        <v>0</v>
      </c>
      <c r="S37" s="843"/>
      <c r="T37" s="74">
        <f>SUM(Q37:R37)</f>
        <v>0</v>
      </c>
    </row>
    <row r="38" spans="1:20">
      <c r="A38" s="74" t="s">
        <v>2212</v>
      </c>
      <c r="B38" s="74"/>
      <c r="C38" s="74"/>
      <c r="D38" s="74"/>
      <c r="E38" s="74"/>
      <c r="F38" s="74"/>
      <c r="G38" s="74"/>
      <c r="H38" s="74"/>
      <c r="I38" s="74"/>
      <c r="J38" s="74"/>
      <c r="K38" s="74"/>
      <c r="L38" s="74"/>
      <c r="M38" s="74"/>
      <c r="N38" s="74"/>
      <c r="O38" s="74"/>
      <c r="P38" s="843"/>
      <c r="Q38" s="74">
        <f t="shared" si="6"/>
        <v>0</v>
      </c>
      <c r="R38" s="74">
        <f t="shared" si="6"/>
        <v>0</v>
      </c>
      <c r="S38" s="843"/>
      <c r="T38" s="74">
        <f t="shared" ref="T38:T43" si="7">SUM(Q38:R38)</f>
        <v>0</v>
      </c>
    </row>
    <row r="39" spans="1:20">
      <c r="A39" s="74" t="s">
        <v>2213</v>
      </c>
      <c r="B39" s="74"/>
      <c r="C39" s="74"/>
      <c r="D39" s="74"/>
      <c r="E39" s="74"/>
      <c r="F39" s="74"/>
      <c r="G39" s="74"/>
      <c r="H39" s="74"/>
      <c r="I39" s="74"/>
      <c r="J39" s="74"/>
      <c r="K39" s="74"/>
      <c r="L39" s="74"/>
      <c r="M39" s="74"/>
      <c r="N39" s="74"/>
      <c r="O39" s="74"/>
      <c r="P39" s="843"/>
      <c r="Q39" s="74">
        <f t="shared" si="6"/>
        <v>0</v>
      </c>
      <c r="R39" s="74">
        <f t="shared" si="6"/>
        <v>0</v>
      </c>
      <c r="S39" s="843"/>
      <c r="T39" s="74">
        <f t="shared" si="7"/>
        <v>0</v>
      </c>
    </row>
    <row r="40" spans="1:20">
      <c r="A40" s="74" t="s">
        <v>2214</v>
      </c>
      <c r="B40" s="74"/>
      <c r="C40" s="74"/>
      <c r="D40" s="74">
        <v>8.5155999999999996E-2</v>
      </c>
      <c r="E40" s="74"/>
      <c r="F40" s="74"/>
      <c r="G40" s="74"/>
      <c r="H40" s="74"/>
      <c r="I40" s="74"/>
      <c r="J40" s="74"/>
      <c r="K40" s="74">
        <v>0.28899999999999998</v>
      </c>
      <c r="L40" s="74"/>
      <c r="M40" s="74"/>
      <c r="N40" s="74"/>
      <c r="O40" s="74"/>
      <c r="P40" s="843"/>
      <c r="Q40" s="74">
        <f t="shared" si="6"/>
        <v>8.5155999999999996E-2</v>
      </c>
      <c r="R40" s="74">
        <f t="shared" si="6"/>
        <v>0.28899999999999998</v>
      </c>
      <c r="S40" s="843"/>
      <c r="T40" s="74">
        <f t="shared" si="7"/>
        <v>0.37415599999999999</v>
      </c>
    </row>
    <row r="41" spans="1:20">
      <c r="A41" s="74" t="s">
        <v>604</v>
      </c>
      <c r="B41" s="74"/>
      <c r="C41" s="74"/>
      <c r="D41" s="74"/>
      <c r="E41" s="74">
        <v>450</v>
      </c>
      <c r="F41" s="74"/>
      <c r="G41" s="74"/>
      <c r="H41" s="74"/>
      <c r="I41" s="74"/>
      <c r="J41" s="74"/>
      <c r="K41" s="74"/>
      <c r="L41" s="74"/>
      <c r="M41" s="74"/>
      <c r="N41" s="74"/>
      <c r="O41" s="74"/>
      <c r="P41" s="843"/>
      <c r="Q41" s="74">
        <f t="shared" si="6"/>
        <v>0</v>
      </c>
      <c r="R41" s="74">
        <f t="shared" si="6"/>
        <v>450</v>
      </c>
      <c r="S41" s="843"/>
      <c r="T41" s="74">
        <f t="shared" si="7"/>
        <v>450</v>
      </c>
    </row>
    <row r="42" spans="1:20">
      <c r="A42" s="832" t="s">
        <v>2215</v>
      </c>
      <c r="B42" s="848">
        <f>SUM(B36:B41)</f>
        <v>0</v>
      </c>
      <c r="C42" s="848">
        <f>SUM(C36:C41)</f>
        <v>0</v>
      </c>
      <c r="D42" s="848">
        <f>SUM(D36:D41)</f>
        <v>8.5155999999999996E-2</v>
      </c>
      <c r="E42" s="848">
        <f>SUM(E36:E41)-450</f>
        <v>0</v>
      </c>
      <c r="F42" s="848">
        <f t="shared" ref="F42:K42" si="8">SUM(F36:F41)</f>
        <v>0</v>
      </c>
      <c r="G42" s="848">
        <f t="shared" si="8"/>
        <v>0</v>
      </c>
      <c r="H42" s="848">
        <f t="shared" si="8"/>
        <v>0</v>
      </c>
      <c r="I42" s="848">
        <f t="shared" si="8"/>
        <v>0</v>
      </c>
      <c r="J42" s="848">
        <f t="shared" si="8"/>
        <v>0</v>
      </c>
      <c r="K42" s="848">
        <f t="shared" si="8"/>
        <v>0.28899999999999998</v>
      </c>
      <c r="L42" s="848">
        <v>0</v>
      </c>
      <c r="M42" s="848">
        <v>0</v>
      </c>
      <c r="N42" s="848">
        <f>SUM(N36:N41)</f>
        <v>0</v>
      </c>
      <c r="O42" s="848">
        <f>SUM(O36:O41)</f>
        <v>0</v>
      </c>
      <c r="P42" s="843"/>
      <c r="Q42" s="74">
        <f t="shared" si="6"/>
        <v>8.5155999999999996E-2</v>
      </c>
      <c r="R42" s="74">
        <f t="shared" si="6"/>
        <v>0.28899999999999998</v>
      </c>
      <c r="S42" s="843"/>
      <c r="T42" s="74">
        <f t="shared" si="7"/>
        <v>0.37415599999999999</v>
      </c>
    </row>
    <row r="43" spans="1:20">
      <c r="A43" s="832" t="s">
        <v>2216</v>
      </c>
      <c r="B43" s="848">
        <v>0</v>
      </c>
      <c r="C43" s="848">
        <v>0</v>
      </c>
      <c r="D43" s="848">
        <v>0</v>
      </c>
      <c r="E43" s="848">
        <v>450</v>
      </c>
      <c r="F43" s="848">
        <v>0</v>
      </c>
      <c r="G43" s="848">
        <v>0</v>
      </c>
      <c r="H43" s="848">
        <v>0</v>
      </c>
      <c r="I43" s="848">
        <v>0</v>
      </c>
      <c r="J43" s="848">
        <v>0</v>
      </c>
      <c r="K43" s="848">
        <v>0</v>
      </c>
      <c r="L43" s="848">
        <v>0</v>
      </c>
      <c r="M43" s="848">
        <v>0</v>
      </c>
      <c r="N43" s="848">
        <v>0</v>
      </c>
      <c r="O43" s="848">
        <v>0</v>
      </c>
      <c r="P43" s="843"/>
      <c r="Q43" s="74">
        <f t="shared" si="6"/>
        <v>0</v>
      </c>
      <c r="R43" s="74">
        <f t="shared" si="6"/>
        <v>450</v>
      </c>
      <c r="S43" s="843"/>
      <c r="T43" s="74">
        <f t="shared" si="7"/>
        <v>450</v>
      </c>
    </row>
    <row r="44" spans="1:20">
      <c r="A44" s="74"/>
      <c r="B44" s="74"/>
      <c r="C44" s="74"/>
      <c r="D44" s="74"/>
      <c r="E44" s="74"/>
      <c r="F44" s="74"/>
      <c r="G44" s="74"/>
      <c r="H44" s="74"/>
      <c r="I44" s="74"/>
      <c r="J44" s="74"/>
      <c r="K44" s="74"/>
      <c r="L44" s="74"/>
      <c r="M44" s="74"/>
      <c r="N44" s="74"/>
      <c r="O44" s="74"/>
      <c r="P44" s="843"/>
      <c r="Q44" s="74"/>
      <c r="R44" s="74"/>
      <c r="S44" s="843"/>
      <c r="T44" s="74"/>
    </row>
    <row r="45" spans="1:20">
      <c r="A45" s="832" t="s">
        <v>2217</v>
      </c>
      <c r="B45" s="848">
        <f>SUM(B15,B32,B42)</f>
        <v>977.6869999999999</v>
      </c>
      <c r="C45" s="848">
        <f>SUM(C15,C32,C42)</f>
        <v>3204.35</v>
      </c>
      <c r="D45" s="848">
        <f>SUM(D15,D32,D42)</f>
        <v>13.274656</v>
      </c>
      <c r="E45" s="848">
        <f>SUM(E15,E32,E42)</f>
        <v>31.486200000000004</v>
      </c>
      <c r="F45" s="848">
        <f t="shared" ref="F45:K45" si="9">SUM(F15,F32,F42)</f>
        <v>0</v>
      </c>
      <c r="G45" s="848">
        <f t="shared" si="9"/>
        <v>0</v>
      </c>
      <c r="H45" s="848">
        <f t="shared" si="9"/>
        <v>3.3250000000000002</v>
      </c>
      <c r="I45" s="848">
        <f t="shared" si="9"/>
        <v>4.8375000000000004</v>
      </c>
      <c r="J45" s="848">
        <f t="shared" si="9"/>
        <v>61.728499999999997</v>
      </c>
      <c r="K45" s="848">
        <f t="shared" si="9"/>
        <v>3875.3870000000002</v>
      </c>
      <c r="L45" s="848">
        <f>SUM(L15,L32,L42)</f>
        <v>18.234999999999999</v>
      </c>
      <c r="M45" s="848">
        <f>SUM(M15,M32,M42)</f>
        <v>297.54144999999994</v>
      </c>
      <c r="N45" s="848">
        <f>SUM(N15,N32,N42)</f>
        <v>0</v>
      </c>
      <c r="O45" s="848">
        <f>SUM(O15,O32,O42)</f>
        <v>118.16499999999999</v>
      </c>
      <c r="P45" s="843"/>
      <c r="Q45" s="849">
        <f>SUM(B45,D45,F45,H45,J45,L45,N45)</f>
        <v>1074.2501559999998</v>
      </c>
      <c r="R45" s="74">
        <f>SUM(C45,E45,G45,I45,K45,M45,O45)</f>
        <v>7531.7671499999997</v>
      </c>
      <c r="S45" s="843"/>
      <c r="T45" s="74">
        <f>SUM(Q45:R45)</f>
        <v>8606.0173059999997</v>
      </c>
    </row>
    <row r="46" spans="1:20">
      <c r="A46" s="832" t="s">
        <v>2218</v>
      </c>
      <c r="B46" s="848">
        <f t="shared" ref="B46:K46" si="10">SUM(B33,B43)</f>
        <v>0</v>
      </c>
      <c r="C46" s="848">
        <f t="shared" si="10"/>
        <v>0</v>
      </c>
      <c r="D46" s="848">
        <f t="shared" si="10"/>
        <v>0</v>
      </c>
      <c r="E46" s="848">
        <f t="shared" si="10"/>
        <v>450</v>
      </c>
      <c r="F46" s="848">
        <f t="shared" si="10"/>
        <v>0</v>
      </c>
      <c r="G46" s="848">
        <f t="shared" si="10"/>
        <v>0</v>
      </c>
      <c r="H46" s="848">
        <f t="shared" si="10"/>
        <v>0</v>
      </c>
      <c r="I46" s="848">
        <f t="shared" si="10"/>
        <v>0</v>
      </c>
      <c r="J46" s="848">
        <f t="shared" si="10"/>
        <v>0</v>
      </c>
      <c r="K46" s="848">
        <f t="shared" si="10"/>
        <v>17.7</v>
      </c>
      <c r="L46" s="848">
        <f>SUM(L33,L43)</f>
        <v>0</v>
      </c>
      <c r="M46" s="848">
        <f>SUM(M33,M43)</f>
        <v>8.7200000000000006</v>
      </c>
      <c r="N46" s="848">
        <f>SUM(N33,N43)</f>
        <v>0</v>
      </c>
      <c r="O46" s="848">
        <f>SUM(O33,O43)</f>
        <v>0</v>
      </c>
      <c r="P46" s="843"/>
      <c r="Q46" s="849">
        <f>SUM(B46,D46,F46,H46,J46,L46,N46)</f>
        <v>0</v>
      </c>
      <c r="R46" s="74">
        <f>SUM(C46,E46,G46,I46,K46,M46,O46)</f>
        <v>476.42</v>
      </c>
      <c r="S46" s="843"/>
      <c r="T46" s="74">
        <f>SUM(Q46:R46)</f>
        <v>476.42</v>
      </c>
    </row>
    <row r="47" spans="1:20">
      <c r="A47" s="74"/>
      <c r="B47" s="74"/>
      <c r="C47" s="74"/>
      <c r="D47" s="74"/>
      <c r="E47" s="74"/>
      <c r="F47" s="74"/>
      <c r="G47" s="74"/>
      <c r="H47" s="74"/>
      <c r="I47" s="74"/>
      <c r="J47" s="74"/>
      <c r="K47" s="74"/>
      <c r="L47" s="74"/>
      <c r="M47" s="74"/>
      <c r="N47" s="74"/>
      <c r="O47" s="74"/>
      <c r="P47" s="843"/>
      <c r="Q47" s="74"/>
      <c r="R47" s="74"/>
      <c r="S47" s="843"/>
      <c r="T47" s="74"/>
    </row>
    <row r="48" spans="1:20">
      <c r="A48" s="832" t="s">
        <v>2219</v>
      </c>
      <c r="B48" s="74"/>
      <c r="C48" s="74"/>
      <c r="D48" s="74"/>
      <c r="E48" s="74"/>
      <c r="F48" s="74"/>
      <c r="G48" s="74"/>
      <c r="H48" s="74"/>
      <c r="I48" s="74"/>
      <c r="J48" s="74"/>
      <c r="K48" s="74"/>
      <c r="L48" s="74"/>
      <c r="M48" s="74"/>
      <c r="N48" s="74"/>
      <c r="O48" s="74"/>
      <c r="P48" s="843"/>
      <c r="Q48" s="74"/>
      <c r="R48" s="74"/>
      <c r="S48" s="843"/>
      <c r="T48" s="74"/>
    </row>
    <row r="49" spans="1:20">
      <c r="A49" s="74" t="s">
        <v>2220</v>
      </c>
      <c r="B49" s="848">
        <v>4253.6400000000003</v>
      </c>
      <c r="C49" s="74"/>
      <c r="D49" s="74"/>
      <c r="E49" s="74"/>
      <c r="F49" s="74"/>
      <c r="G49" s="74"/>
      <c r="H49" s="74"/>
      <c r="I49" s="74"/>
      <c r="J49" s="74"/>
      <c r="K49" s="74"/>
      <c r="L49" s="74"/>
      <c r="M49" s="74"/>
      <c r="N49" s="74"/>
      <c r="O49" s="74"/>
      <c r="P49" s="843"/>
      <c r="Q49" s="74">
        <f t="shared" ref="Q49:R52" si="11">SUM(B49,D49,F49,H49,J49,L49,N49)</f>
        <v>4253.6400000000003</v>
      </c>
      <c r="R49" s="74">
        <f t="shared" si="11"/>
        <v>0</v>
      </c>
      <c r="S49" s="843"/>
      <c r="T49" s="74">
        <f>SUM(Q49:R49)</f>
        <v>4253.6400000000003</v>
      </c>
    </row>
    <row r="50" spans="1:20">
      <c r="A50" s="74" t="s">
        <v>56</v>
      </c>
      <c r="B50" s="74"/>
      <c r="C50" s="74"/>
      <c r="D50" s="74"/>
      <c r="E50" s="74"/>
      <c r="F50" s="74"/>
      <c r="G50" s="74"/>
      <c r="H50" s="848">
        <v>192.45</v>
      </c>
      <c r="I50" s="74"/>
      <c r="J50" s="74"/>
      <c r="K50" s="74"/>
      <c r="L50" s="848">
        <v>48</v>
      </c>
      <c r="M50" s="74"/>
      <c r="N50" s="74"/>
      <c r="O50" s="848">
        <v>4</v>
      </c>
      <c r="P50" s="843"/>
      <c r="Q50" s="74">
        <f t="shared" si="11"/>
        <v>240.45</v>
      </c>
      <c r="R50" s="74">
        <f t="shared" si="11"/>
        <v>4</v>
      </c>
      <c r="S50" s="843"/>
      <c r="T50" s="74">
        <f>SUM(Q50:R50)</f>
        <v>244.45</v>
      </c>
    </row>
    <row r="51" spans="1:20">
      <c r="A51" s="74" t="s">
        <v>2222</v>
      </c>
      <c r="B51" s="74"/>
      <c r="C51" s="74"/>
      <c r="D51" s="848">
        <v>5465.45</v>
      </c>
      <c r="E51" s="74"/>
      <c r="F51" s="74"/>
      <c r="G51" s="74"/>
      <c r="H51" s="74"/>
      <c r="I51" s="74"/>
      <c r="J51" s="850">
        <v>1149.7565</v>
      </c>
      <c r="K51" s="74"/>
      <c r="L51" s="74"/>
      <c r="M51" s="74"/>
      <c r="N51" s="74"/>
      <c r="O51" s="74"/>
      <c r="P51" s="843"/>
      <c r="Q51" s="74">
        <f t="shared" si="11"/>
        <v>6615.2065000000002</v>
      </c>
      <c r="R51" s="74">
        <f t="shared" si="11"/>
        <v>0</v>
      </c>
      <c r="S51" s="843"/>
      <c r="T51" s="74">
        <f>SUM(Q51:R51)</f>
        <v>6615.2065000000002</v>
      </c>
    </row>
    <row r="52" spans="1:20">
      <c r="A52" s="74" t="s">
        <v>604</v>
      </c>
      <c r="B52" s="74"/>
      <c r="C52" s="74"/>
      <c r="D52" s="74"/>
      <c r="E52" s="74"/>
      <c r="F52" s="74"/>
      <c r="G52" s="74"/>
      <c r="H52" s="74"/>
      <c r="I52" s="74"/>
      <c r="J52" s="74"/>
      <c r="K52" s="74"/>
      <c r="L52" s="74"/>
      <c r="M52" s="74"/>
      <c r="N52" s="74"/>
      <c r="O52" s="74"/>
      <c r="P52" s="843"/>
      <c r="Q52" s="74">
        <f t="shared" si="11"/>
        <v>0</v>
      </c>
      <c r="R52" s="74">
        <f t="shared" si="11"/>
        <v>0</v>
      </c>
      <c r="S52" s="843"/>
      <c r="T52" s="74">
        <f>SUM(Q52:R52)</f>
        <v>0</v>
      </c>
    </row>
  </sheetData>
  <mergeCells count="8">
    <mergeCell ref="N3:O3"/>
    <mergeCell ref="Q3:R3"/>
    <mergeCell ref="B3:C3"/>
    <mergeCell ref="D3:E3"/>
    <mergeCell ref="F3:G3"/>
    <mergeCell ref="H3:I3"/>
    <mergeCell ref="J3:K3"/>
    <mergeCell ref="L3:M3"/>
  </mergeCells>
  <pageMargins left="0.7" right="0.7" top="0.75" bottom="0.75" header="0.3" footer="0.3"/>
  <legacyDrawing r:id="rId1"/>
</worksheet>
</file>

<file path=xl/worksheets/sheet57.xml><?xml version="1.0" encoding="utf-8"?>
<worksheet xmlns="http://schemas.openxmlformats.org/spreadsheetml/2006/main" xmlns:r="http://schemas.openxmlformats.org/officeDocument/2006/relationships">
  <dimension ref="A1:IV48"/>
  <sheetViews>
    <sheetView workbookViewId="0">
      <selection sqref="A1:XFD2"/>
    </sheetView>
  </sheetViews>
  <sheetFormatPr defaultRowHeight="15"/>
  <cols>
    <col min="1" max="1" width="20.140625" style="74" customWidth="1"/>
    <col min="2" max="2" width="9.140625" style="74"/>
    <col min="3" max="3" width="11.140625" style="74" customWidth="1"/>
    <col min="4" max="4" width="9.28515625" style="74" bestFit="1" customWidth="1"/>
    <col min="5" max="5" width="11.28515625" style="824" customWidth="1"/>
    <col min="6" max="6" width="9.140625" style="74"/>
    <col min="7" max="7" width="11.140625" style="74" bestFit="1" customWidth="1"/>
    <col min="8" max="8" width="11" style="74" customWidth="1"/>
    <col min="9" max="9" width="12" style="74" customWidth="1"/>
    <col min="10" max="10" width="12.28515625" style="74" customWidth="1"/>
    <col min="11" max="16384" width="9.140625" style="74"/>
  </cols>
  <sheetData>
    <row r="1" spans="1:11" s="697" customFormat="1">
      <c r="A1" s="882" t="s">
        <v>2265</v>
      </c>
      <c r="B1" s="73"/>
      <c r="C1" s="73"/>
      <c r="D1" s="883"/>
    </row>
    <row r="2" spans="1:11" s="697" customFormat="1"/>
    <row r="3" spans="1:11">
      <c r="C3" s="851" t="s">
        <v>55</v>
      </c>
      <c r="D3" s="851" t="s">
        <v>2227</v>
      </c>
      <c r="E3" s="852" t="s">
        <v>2228</v>
      </c>
      <c r="F3" s="851" t="s">
        <v>2229</v>
      </c>
      <c r="G3" s="853" t="s">
        <v>2230</v>
      </c>
      <c r="H3" s="853" t="s">
        <v>2231</v>
      </c>
      <c r="I3" s="851" t="s">
        <v>2232</v>
      </c>
      <c r="J3" s="851"/>
      <c r="K3" s="851"/>
    </row>
    <row r="4" spans="1:11">
      <c r="A4" s="851" t="s">
        <v>2182</v>
      </c>
    </row>
    <row r="5" spans="1:11">
      <c r="A5" s="74" t="s">
        <v>2183</v>
      </c>
      <c r="C5" s="829">
        <v>398.92</v>
      </c>
      <c r="D5" s="854">
        <v>19.86</v>
      </c>
      <c r="E5" s="827">
        <v>0</v>
      </c>
      <c r="F5" s="829">
        <v>0</v>
      </c>
      <c r="G5" s="829">
        <v>1714.8575000000001</v>
      </c>
      <c r="H5" s="829">
        <v>0.4</v>
      </c>
      <c r="I5" s="846">
        <f>SUM(C5:H5)</f>
        <v>2134.0375000000004</v>
      </c>
      <c r="J5" s="829"/>
      <c r="K5" s="829"/>
    </row>
    <row r="6" spans="1:11">
      <c r="A6" s="74" t="s">
        <v>2184</v>
      </c>
      <c r="C6" s="829">
        <v>3</v>
      </c>
      <c r="D6" s="854">
        <v>20.02</v>
      </c>
      <c r="E6" s="827">
        <v>0</v>
      </c>
      <c r="F6" s="829">
        <v>0</v>
      </c>
      <c r="G6" s="829">
        <v>6069.3365000000003</v>
      </c>
      <c r="H6" s="829">
        <v>12.6175</v>
      </c>
      <c r="I6" s="846">
        <f t="shared" ref="I6:I13" si="0">SUM(C6:H6)</f>
        <v>6104.9740000000011</v>
      </c>
      <c r="J6" s="829"/>
      <c r="K6" s="829"/>
    </row>
    <row r="7" spans="1:11">
      <c r="A7" s="74" t="s">
        <v>2185</v>
      </c>
      <c r="C7" s="829">
        <v>0</v>
      </c>
      <c r="D7" s="829">
        <v>0</v>
      </c>
      <c r="E7" s="827">
        <v>0</v>
      </c>
      <c r="F7" s="829">
        <v>0</v>
      </c>
      <c r="G7" s="829">
        <v>76.540000000000006</v>
      </c>
      <c r="H7" s="829">
        <v>0</v>
      </c>
      <c r="I7" s="846">
        <f t="shared" si="0"/>
        <v>76.540000000000006</v>
      </c>
      <c r="J7" s="829"/>
      <c r="K7" s="829"/>
    </row>
    <row r="8" spans="1:11">
      <c r="A8" s="74" t="s">
        <v>2186</v>
      </c>
      <c r="C8" s="829">
        <v>0</v>
      </c>
      <c r="D8" s="829">
        <v>0</v>
      </c>
      <c r="E8" s="827">
        <v>0</v>
      </c>
      <c r="F8" s="829">
        <v>0</v>
      </c>
      <c r="G8" s="829">
        <v>0</v>
      </c>
      <c r="H8" s="829">
        <v>0</v>
      </c>
      <c r="I8" s="846">
        <f t="shared" si="0"/>
        <v>0</v>
      </c>
      <c r="J8" s="829"/>
      <c r="K8" s="829"/>
    </row>
    <row r="9" spans="1:11">
      <c r="A9" s="74" t="s">
        <v>2225</v>
      </c>
      <c r="C9" s="829">
        <v>414.18</v>
      </c>
      <c r="D9" s="829">
        <v>0</v>
      </c>
      <c r="E9" s="827">
        <v>0</v>
      </c>
      <c r="F9" s="829">
        <v>0</v>
      </c>
      <c r="G9" s="829">
        <v>6.5000000000000002E-2</v>
      </c>
      <c r="H9" s="829">
        <v>0</v>
      </c>
      <c r="I9" s="846">
        <f t="shared" si="0"/>
        <v>414.245</v>
      </c>
      <c r="J9" s="829"/>
      <c r="K9" s="829"/>
    </row>
    <row r="10" spans="1:11">
      <c r="A10" s="74" t="s">
        <v>2188</v>
      </c>
      <c r="C10" s="855">
        <v>970.6</v>
      </c>
      <c r="D10" s="829">
        <v>0</v>
      </c>
      <c r="E10" s="827">
        <v>0</v>
      </c>
      <c r="F10" s="829">
        <v>0</v>
      </c>
      <c r="G10" s="829">
        <v>0</v>
      </c>
      <c r="H10" s="829">
        <v>0</v>
      </c>
      <c r="I10" s="846">
        <f t="shared" si="0"/>
        <v>970.6</v>
      </c>
      <c r="J10" s="829"/>
      <c r="K10" s="829"/>
    </row>
    <row r="11" spans="1:11">
      <c r="A11" s="74" t="s">
        <v>2189</v>
      </c>
      <c r="C11" s="855">
        <v>1832.6125</v>
      </c>
      <c r="D11" s="829">
        <v>0</v>
      </c>
      <c r="E11" s="827">
        <v>0</v>
      </c>
      <c r="F11" s="829">
        <v>0</v>
      </c>
      <c r="G11" s="829">
        <v>403.95</v>
      </c>
      <c r="H11" s="829">
        <v>0</v>
      </c>
      <c r="I11" s="846">
        <f t="shared" si="0"/>
        <v>2236.5625</v>
      </c>
      <c r="J11" s="829"/>
      <c r="K11" s="827"/>
    </row>
    <row r="12" spans="1:11">
      <c r="A12" s="74" t="s">
        <v>2190</v>
      </c>
      <c r="C12" s="829">
        <v>0</v>
      </c>
      <c r="D12" s="829">
        <v>0</v>
      </c>
      <c r="E12" s="827">
        <v>0</v>
      </c>
      <c r="F12" s="829">
        <v>0</v>
      </c>
      <c r="G12" s="829">
        <v>519.32449999999994</v>
      </c>
      <c r="H12" s="829">
        <v>0</v>
      </c>
      <c r="I12" s="846">
        <f t="shared" si="0"/>
        <v>519.32449999999994</v>
      </c>
      <c r="J12" s="829"/>
      <c r="K12" s="829"/>
    </row>
    <row r="13" spans="1:11">
      <c r="A13" s="74" t="s">
        <v>2191</v>
      </c>
      <c r="C13" s="829">
        <v>0</v>
      </c>
      <c r="D13" s="829">
        <v>0</v>
      </c>
      <c r="E13" s="827">
        <v>0</v>
      </c>
      <c r="F13" s="829">
        <v>497.85</v>
      </c>
      <c r="G13" s="829">
        <v>0</v>
      </c>
      <c r="H13" s="829">
        <v>0</v>
      </c>
      <c r="I13" s="846">
        <f t="shared" si="0"/>
        <v>497.85</v>
      </c>
      <c r="J13" s="829"/>
      <c r="K13" s="829"/>
    </row>
    <row r="14" spans="1:11">
      <c r="A14" s="832" t="s">
        <v>2192</v>
      </c>
      <c r="C14" s="856">
        <f>SUM(C5:C13)</f>
        <v>3619.3125</v>
      </c>
      <c r="D14" s="856">
        <f>SUM(D5:D13)</f>
        <v>39.879999999999995</v>
      </c>
      <c r="E14" s="857">
        <v>0</v>
      </c>
      <c r="F14" s="857">
        <f>SUM(F5:F13)</f>
        <v>497.85</v>
      </c>
      <c r="G14" s="858">
        <f>SUM(G5:G13)</f>
        <v>8784.0735000000004</v>
      </c>
      <c r="H14" s="858">
        <f>SUM(H5:H13)</f>
        <v>13.0175</v>
      </c>
      <c r="I14" s="856">
        <f>SUM(I5:I13)</f>
        <v>12954.133500000004</v>
      </c>
      <c r="J14" s="829">
        <f>SUM(C14:H14)</f>
        <v>12954.133500000002</v>
      </c>
      <c r="K14" s="829"/>
    </row>
    <row r="15" spans="1:11">
      <c r="C15" s="829"/>
      <c r="D15" s="829"/>
      <c r="E15" s="827"/>
      <c r="F15" s="829"/>
      <c r="G15" s="829"/>
      <c r="H15" s="829"/>
      <c r="I15" s="829"/>
      <c r="J15" s="829"/>
      <c r="K15" s="829"/>
    </row>
    <row r="16" spans="1:11">
      <c r="A16" s="851" t="s">
        <v>2193</v>
      </c>
      <c r="C16" s="829"/>
      <c r="D16" s="829"/>
      <c r="E16" s="827"/>
      <c r="F16" s="829"/>
      <c r="G16" s="829"/>
      <c r="H16" s="829"/>
      <c r="I16" s="829"/>
      <c r="J16" s="829"/>
      <c r="K16" s="829"/>
    </row>
    <row r="17" spans="1:11">
      <c r="A17" s="74" t="s">
        <v>2194</v>
      </c>
      <c r="C17" s="829">
        <v>1.2975000000000001</v>
      </c>
      <c r="D17" s="829">
        <v>11.9375</v>
      </c>
      <c r="E17" s="827">
        <v>0</v>
      </c>
      <c r="F17" s="829">
        <v>0</v>
      </c>
      <c r="G17" s="829">
        <v>0</v>
      </c>
      <c r="H17" s="829">
        <v>28</v>
      </c>
      <c r="I17" s="846">
        <f t="shared" ref="I17:I26" si="1">SUM(C17:H17)</f>
        <v>41.234999999999999</v>
      </c>
      <c r="J17" s="829"/>
      <c r="K17" s="829"/>
    </row>
    <row r="18" spans="1:11">
      <c r="A18" s="74" t="s">
        <v>2195</v>
      </c>
      <c r="C18" s="829">
        <v>0</v>
      </c>
      <c r="D18" s="855">
        <v>8.4137500000000003</v>
      </c>
      <c r="E18" s="827">
        <v>0</v>
      </c>
      <c r="F18" s="829">
        <v>0</v>
      </c>
      <c r="G18" s="829">
        <v>9631.8349999999991</v>
      </c>
      <c r="H18" s="829">
        <v>52.379649999999998</v>
      </c>
      <c r="I18" s="846">
        <f t="shared" si="1"/>
        <v>9692.6283999999996</v>
      </c>
      <c r="J18" s="829"/>
      <c r="K18" s="829"/>
    </row>
    <row r="19" spans="1:11">
      <c r="A19" s="74" t="s">
        <v>2224</v>
      </c>
      <c r="C19" s="829">
        <v>0</v>
      </c>
      <c r="D19" s="829">
        <v>0</v>
      </c>
      <c r="E19" s="827">
        <v>0</v>
      </c>
      <c r="F19" s="829">
        <v>0</v>
      </c>
      <c r="G19" s="829">
        <v>0</v>
      </c>
      <c r="H19" s="829">
        <v>0</v>
      </c>
      <c r="I19" s="846">
        <f t="shared" si="1"/>
        <v>0</v>
      </c>
      <c r="J19" s="829"/>
      <c r="K19" s="829"/>
    </row>
    <row r="20" spans="1:11">
      <c r="A20" s="74" t="s">
        <v>2197</v>
      </c>
      <c r="C20" s="829">
        <v>0</v>
      </c>
      <c r="D20" s="829">
        <v>0</v>
      </c>
      <c r="E20" s="827">
        <v>0</v>
      </c>
      <c r="F20" s="829">
        <v>0</v>
      </c>
      <c r="G20" s="829">
        <v>0</v>
      </c>
      <c r="H20" s="829">
        <v>3.9994999999999998</v>
      </c>
      <c r="I20" s="846">
        <f t="shared" si="1"/>
        <v>3.9994999999999998</v>
      </c>
      <c r="J20" s="829"/>
      <c r="K20" s="829"/>
    </row>
    <row r="21" spans="1:11">
      <c r="A21" s="74" t="s">
        <v>2200</v>
      </c>
      <c r="C21" s="829">
        <v>0</v>
      </c>
      <c r="D21" s="829">
        <v>0</v>
      </c>
      <c r="E21" s="827">
        <v>0</v>
      </c>
      <c r="F21" s="829">
        <v>0</v>
      </c>
      <c r="G21" s="829">
        <v>0</v>
      </c>
      <c r="H21" s="829">
        <v>33</v>
      </c>
      <c r="I21" s="846">
        <f t="shared" si="1"/>
        <v>33</v>
      </c>
      <c r="J21" s="829"/>
      <c r="K21" s="829"/>
    </row>
    <row r="22" spans="1:11">
      <c r="A22" s="74" t="s">
        <v>2201</v>
      </c>
      <c r="C22" s="829">
        <v>0.373</v>
      </c>
      <c r="D22" s="854">
        <v>2.4965000000000002</v>
      </c>
      <c r="E22" s="827">
        <v>0</v>
      </c>
      <c r="F22" s="829">
        <v>0</v>
      </c>
      <c r="G22" s="829">
        <v>0.2175</v>
      </c>
      <c r="H22" s="829">
        <v>79.209620000000001</v>
      </c>
      <c r="I22" s="846">
        <f t="shared" si="1"/>
        <v>82.296620000000004</v>
      </c>
      <c r="J22" s="829"/>
      <c r="K22" s="829"/>
    </row>
    <row r="23" spans="1:11">
      <c r="A23" s="74" t="s">
        <v>2202</v>
      </c>
      <c r="C23" s="829">
        <v>0</v>
      </c>
      <c r="D23" s="829">
        <v>0</v>
      </c>
      <c r="E23" s="827">
        <v>0</v>
      </c>
      <c r="F23" s="829">
        <v>0</v>
      </c>
      <c r="G23" s="829">
        <v>176.09899999999999</v>
      </c>
      <c r="H23" s="829">
        <v>0</v>
      </c>
      <c r="I23" s="846">
        <f t="shared" si="1"/>
        <v>176.09899999999999</v>
      </c>
      <c r="J23" s="829"/>
      <c r="K23" s="829"/>
    </row>
    <row r="24" spans="1:11">
      <c r="A24" s="74" t="s">
        <v>2204</v>
      </c>
      <c r="C24" s="829">
        <v>30.6905</v>
      </c>
      <c r="D24" s="829">
        <v>2.4910000000000001</v>
      </c>
      <c r="E24" s="827">
        <v>0</v>
      </c>
      <c r="F24" s="829">
        <v>0</v>
      </c>
      <c r="G24" s="829">
        <v>5.3769999999999998</v>
      </c>
      <c r="H24" s="829">
        <v>0</v>
      </c>
      <c r="I24" s="846">
        <f t="shared" si="1"/>
        <v>38.558500000000002</v>
      </c>
      <c r="J24" s="829"/>
      <c r="K24" s="829"/>
    </row>
    <row r="25" spans="1:11">
      <c r="A25" s="74" t="s">
        <v>2205</v>
      </c>
      <c r="C25" s="829">
        <v>0</v>
      </c>
      <c r="D25" s="829">
        <v>0</v>
      </c>
      <c r="E25" s="827">
        <v>0</v>
      </c>
      <c r="F25" s="829">
        <v>0</v>
      </c>
      <c r="G25" s="829">
        <v>0</v>
      </c>
      <c r="H25" s="829">
        <v>0</v>
      </c>
      <c r="I25" s="846">
        <f t="shared" si="1"/>
        <v>0</v>
      </c>
      <c r="J25" s="829"/>
      <c r="K25" s="829"/>
    </row>
    <row r="26" spans="1:11">
      <c r="A26" s="74" t="s">
        <v>604</v>
      </c>
      <c r="C26" s="829">
        <v>0</v>
      </c>
      <c r="D26" s="855">
        <v>6.0000000000000001E-3</v>
      </c>
      <c r="E26" s="827">
        <v>0</v>
      </c>
      <c r="F26" s="829">
        <v>76.56</v>
      </c>
      <c r="G26" s="829">
        <v>8.9250000000000007</v>
      </c>
      <c r="H26" s="829">
        <v>0.1295</v>
      </c>
      <c r="I26" s="846">
        <f t="shared" si="1"/>
        <v>85.620499999999993</v>
      </c>
      <c r="J26" s="829"/>
      <c r="K26" s="829"/>
    </row>
    <row r="27" spans="1:11">
      <c r="A27" s="832" t="s">
        <v>2207</v>
      </c>
      <c r="C27" s="856">
        <f t="shared" ref="C27:I27" si="2">SUM(C17:C26)</f>
        <v>32.360999999999997</v>
      </c>
      <c r="D27" s="856">
        <f>SUM(D17:D26)</f>
        <v>25.344750000000001</v>
      </c>
      <c r="E27" s="857">
        <f t="shared" si="2"/>
        <v>0</v>
      </c>
      <c r="F27" s="858">
        <f t="shared" si="2"/>
        <v>76.56</v>
      </c>
      <c r="G27" s="858">
        <f t="shared" si="2"/>
        <v>9822.4534999999996</v>
      </c>
      <c r="H27" s="858">
        <f t="shared" si="2"/>
        <v>196.71827000000002</v>
      </c>
      <c r="I27" s="856">
        <f t="shared" si="2"/>
        <v>10153.437519999999</v>
      </c>
      <c r="J27" s="829">
        <f>SUM(C27:H27)</f>
        <v>10153.437519999999</v>
      </c>
      <c r="K27" s="829"/>
    </row>
    <row r="28" spans="1:11">
      <c r="C28" s="829"/>
      <c r="D28" s="829"/>
      <c r="E28" s="827"/>
      <c r="F28" s="829"/>
      <c r="G28" s="829"/>
      <c r="H28" s="829"/>
      <c r="I28" s="829"/>
      <c r="J28" s="829"/>
      <c r="K28" s="829"/>
    </row>
    <row r="29" spans="1:11">
      <c r="A29" s="74" t="s">
        <v>2210</v>
      </c>
      <c r="C29" s="829">
        <v>0</v>
      </c>
      <c r="D29" s="829">
        <v>0</v>
      </c>
      <c r="E29" s="827">
        <v>0</v>
      </c>
      <c r="F29" s="829">
        <v>0</v>
      </c>
      <c r="G29" s="829">
        <v>0</v>
      </c>
      <c r="H29" s="829">
        <v>0</v>
      </c>
      <c r="I29" s="846">
        <f>SUM(C29:H29)</f>
        <v>0</v>
      </c>
      <c r="K29" s="829"/>
    </row>
    <row r="30" spans="1:11">
      <c r="A30" s="74" t="s">
        <v>2211</v>
      </c>
      <c r="C30" s="829">
        <v>0</v>
      </c>
      <c r="D30" s="829">
        <v>0</v>
      </c>
      <c r="E30" s="827">
        <v>0</v>
      </c>
      <c r="F30" s="829">
        <v>0</v>
      </c>
      <c r="G30" s="827">
        <v>0</v>
      </c>
      <c r="H30" s="829">
        <v>0</v>
      </c>
      <c r="I30" s="838">
        <f>SUM(C30:H30)</f>
        <v>0</v>
      </c>
      <c r="K30" s="829"/>
    </row>
    <row r="31" spans="1:11">
      <c r="A31" s="74" t="s">
        <v>2212</v>
      </c>
      <c r="C31" s="829">
        <v>0</v>
      </c>
      <c r="D31" s="829">
        <v>0</v>
      </c>
      <c r="E31" s="827">
        <v>0</v>
      </c>
      <c r="F31" s="829">
        <v>0</v>
      </c>
      <c r="G31" s="829">
        <v>0</v>
      </c>
      <c r="H31" s="829">
        <v>0</v>
      </c>
      <c r="I31" s="846">
        <f>SUM(C31:H31)</f>
        <v>0</v>
      </c>
      <c r="J31" s="829"/>
      <c r="K31" s="829"/>
    </row>
    <row r="32" spans="1:11">
      <c r="A32" s="74" t="s">
        <v>2213</v>
      </c>
      <c r="C32" s="829">
        <v>0</v>
      </c>
      <c r="D32" s="829">
        <v>0</v>
      </c>
      <c r="E32" s="827">
        <v>0</v>
      </c>
      <c r="F32" s="829">
        <v>0</v>
      </c>
      <c r="G32" s="829">
        <v>0</v>
      </c>
      <c r="H32" s="829">
        <v>0</v>
      </c>
      <c r="I32" s="846">
        <f>SUM(C32:H32)</f>
        <v>0</v>
      </c>
      <c r="J32" s="829"/>
      <c r="K32" s="829"/>
    </row>
    <row r="33" spans="1:256">
      <c r="A33" s="74" t="s">
        <v>604</v>
      </c>
      <c r="C33" s="829">
        <v>0</v>
      </c>
      <c r="D33" s="855">
        <v>450.00081</v>
      </c>
      <c r="E33" s="827">
        <v>0</v>
      </c>
      <c r="F33" s="829">
        <v>0</v>
      </c>
      <c r="G33" s="829">
        <v>27.914999999999999</v>
      </c>
      <c r="H33" s="829">
        <v>3.738</v>
      </c>
      <c r="I33" s="846">
        <f>SUM(C33:H33)</f>
        <v>481.65381000000002</v>
      </c>
      <c r="J33" s="829"/>
      <c r="K33" s="829"/>
    </row>
    <row r="34" spans="1:256">
      <c r="A34" s="74" t="s">
        <v>2217</v>
      </c>
      <c r="C34" s="859">
        <f>C14+C27</f>
        <v>3651.6734999999999</v>
      </c>
      <c r="D34" s="829">
        <f>D14+D27+D29+D30+D31+D32+D33</f>
        <v>515.22555999999997</v>
      </c>
      <c r="E34" s="827">
        <f>E14+E27+E29+E30+E31+E32+E33</f>
        <v>0</v>
      </c>
      <c r="F34" s="860">
        <f>F14+F27</f>
        <v>574.41000000000008</v>
      </c>
      <c r="G34" s="855">
        <f>G14+G27+G29+G30+G31+G32+G33</f>
        <v>18634.442000000003</v>
      </c>
      <c r="H34" s="860">
        <f>H14+H27</f>
        <v>209.73577000000003</v>
      </c>
      <c r="I34" s="859">
        <f>I14+I27+I29+I30+I31+I32+I33</f>
        <v>23589.224830000003</v>
      </c>
      <c r="J34" s="829">
        <f>SUM(C34:H34)</f>
        <v>23585.486830000002</v>
      </c>
      <c r="K34" s="829"/>
    </row>
    <row r="35" spans="1:256">
      <c r="C35" s="829"/>
      <c r="D35" s="829"/>
      <c r="E35" s="827"/>
      <c r="F35" s="829"/>
      <c r="G35" s="829"/>
      <c r="H35" s="829"/>
      <c r="I35" s="829">
        <f>SUM(I34)</f>
        <v>23589.224830000003</v>
      </c>
      <c r="J35" s="829"/>
      <c r="K35" s="829"/>
    </row>
    <row r="36" spans="1:256" s="824" customFormat="1">
      <c r="A36" s="822" t="s">
        <v>2219</v>
      </c>
      <c r="C36" s="827"/>
      <c r="D36" s="827"/>
      <c r="E36" s="827"/>
      <c r="F36" s="827"/>
      <c r="G36" s="827"/>
      <c r="H36" s="827"/>
      <c r="I36" s="827"/>
      <c r="J36" s="827"/>
      <c r="K36" s="827"/>
    </row>
    <row r="37" spans="1:256" s="824" customFormat="1">
      <c r="A37" s="824" t="s">
        <v>2220</v>
      </c>
      <c r="C37" s="827">
        <v>4920.3500000000004</v>
      </c>
      <c r="D37" s="827"/>
      <c r="E37" s="855">
        <v>5</v>
      </c>
      <c r="F37" s="827"/>
      <c r="G37" s="827"/>
      <c r="H37" s="827"/>
      <c r="I37" s="827">
        <f>SUM(C37:H37)</f>
        <v>4925.3500000000004</v>
      </c>
      <c r="J37" s="827"/>
      <c r="K37" s="827"/>
    </row>
    <row r="38" spans="1:256" s="824" customFormat="1">
      <c r="A38" s="824" t="s">
        <v>56</v>
      </c>
      <c r="C38" s="827"/>
      <c r="D38" s="827"/>
      <c r="E38" s="827"/>
      <c r="F38" s="827">
        <v>13373.46</v>
      </c>
      <c r="G38" s="861">
        <v>0.6</v>
      </c>
      <c r="H38" s="827"/>
      <c r="I38" s="827">
        <f>SUM(C38:H38)</f>
        <v>13374.06</v>
      </c>
      <c r="J38" s="827">
        <f>SUM(I37:I40)</f>
        <v>18608.1482</v>
      </c>
      <c r="K38" s="827"/>
      <c r="IV38" s="827">
        <f>SUM(D38:IU38)</f>
        <v>45356.268199999999</v>
      </c>
    </row>
    <row r="39" spans="1:256" s="824" customFormat="1">
      <c r="A39" s="824" t="s">
        <v>2222</v>
      </c>
      <c r="C39" s="827"/>
      <c r="D39" s="827">
        <v>308.73820000000001</v>
      </c>
      <c r="E39" s="827"/>
      <c r="F39" s="827"/>
      <c r="G39" s="827"/>
      <c r="H39" s="827"/>
      <c r="I39" s="827">
        <f>SUM(C39:H39)</f>
        <v>308.73820000000001</v>
      </c>
      <c r="J39" s="827"/>
      <c r="K39" s="827"/>
    </row>
    <row r="40" spans="1:256" s="824" customFormat="1">
      <c r="A40" s="824" t="s">
        <v>604</v>
      </c>
      <c r="C40" s="827"/>
      <c r="D40" s="827"/>
      <c r="E40" s="827"/>
      <c r="F40" s="827"/>
      <c r="G40" s="827"/>
      <c r="H40" s="827"/>
      <c r="I40" s="827"/>
      <c r="J40" s="827"/>
      <c r="K40" s="827"/>
    </row>
    <row r="42" spans="1:256">
      <c r="A42" s="862" t="s">
        <v>2233</v>
      </c>
      <c r="E42" s="74"/>
    </row>
    <row r="43" spans="1:256">
      <c r="A43" s="74" t="s">
        <v>2234</v>
      </c>
      <c r="E43" s="74"/>
    </row>
    <row r="44" spans="1:256">
      <c r="A44" s="74" t="s">
        <v>2235</v>
      </c>
      <c r="E44" s="74"/>
    </row>
    <row r="45" spans="1:256">
      <c r="A45" s="74" t="s">
        <v>2236</v>
      </c>
      <c r="E45" s="74"/>
    </row>
    <row r="46" spans="1:256">
      <c r="A46" s="863" t="s">
        <v>2237</v>
      </c>
      <c r="B46" s="863"/>
      <c r="C46" s="863"/>
      <c r="D46" s="863"/>
      <c r="E46" s="863"/>
      <c r="F46" s="863"/>
    </row>
    <row r="47" spans="1:256">
      <c r="A47" s="863" t="s">
        <v>2238</v>
      </c>
      <c r="B47" s="863"/>
      <c r="C47" s="863"/>
      <c r="D47" s="863"/>
      <c r="E47" s="863"/>
      <c r="F47" s="863"/>
      <c r="G47" s="863"/>
      <c r="H47" s="863"/>
      <c r="I47" s="863"/>
    </row>
    <row r="48" spans="1:256">
      <c r="A48" s="863" t="s">
        <v>2239</v>
      </c>
      <c r="B48" s="863"/>
      <c r="C48" s="863"/>
      <c r="D48" s="863"/>
      <c r="E48" s="863"/>
      <c r="F48" s="863"/>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dimension ref="A1:IV39"/>
  <sheetViews>
    <sheetView workbookViewId="0">
      <selection sqref="A1:XFD2"/>
    </sheetView>
  </sheetViews>
  <sheetFormatPr defaultRowHeight="15"/>
  <cols>
    <col min="1" max="1" width="15.5703125" style="697" customWidth="1"/>
    <col min="2" max="2" width="9.140625" style="697"/>
    <col min="3" max="3" width="11.140625" style="697" customWidth="1"/>
    <col min="4" max="4" width="9.28515625" style="697" bestFit="1" customWidth="1"/>
    <col min="5" max="5" width="11.28515625" style="697" customWidth="1"/>
    <col min="6" max="6" width="9.140625" style="697"/>
    <col min="7" max="7" width="11.140625" style="697" bestFit="1" customWidth="1"/>
    <col min="8" max="8" width="11" style="697" customWidth="1"/>
    <col min="9" max="9" width="12" style="697" customWidth="1"/>
    <col min="10" max="10" width="12.28515625" style="697" customWidth="1"/>
    <col min="11" max="16384" width="9.140625" style="697"/>
  </cols>
  <sheetData>
    <row r="1" spans="1:11">
      <c r="A1" s="882" t="s">
        <v>2265</v>
      </c>
      <c r="B1" s="73"/>
      <c r="C1" s="73"/>
      <c r="D1" s="883"/>
    </row>
    <row r="3" spans="1:11">
      <c r="C3" s="864" t="s">
        <v>55</v>
      </c>
      <c r="D3" s="864" t="s">
        <v>2227</v>
      </c>
      <c r="E3" s="864" t="s">
        <v>2228</v>
      </c>
      <c r="F3" s="864" t="s">
        <v>2229</v>
      </c>
      <c r="G3" s="864" t="s">
        <v>2230</v>
      </c>
      <c r="H3" s="864" t="s">
        <v>2231</v>
      </c>
      <c r="I3" s="864" t="s">
        <v>2232</v>
      </c>
      <c r="J3" s="864"/>
      <c r="K3" s="864"/>
    </row>
    <row r="4" spans="1:11">
      <c r="A4" s="864" t="s">
        <v>2182</v>
      </c>
    </row>
    <row r="5" spans="1:11">
      <c r="A5" s="697" t="s">
        <v>2183</v>
      </c>
      <c r="C5" s="662">
        <f>30.37+282.8+9.04+84.46+1.18</f>
        <v>407.85</v>
      </c>
      <c r="D5" s="662">
        <v>0.97</v>
      </c>
      <c r="E5" s="662">
        <f>146+4164+1017.9</f>
        <v>5327.9</v>
      </c>
      <c r="F5" s="662">
        <v>31.6</v>
      </c>
      <c r="G5" s="662">
        <v>1410.57</v>
      </c>
      <c r="H5" s="662">
        <v>4.5999999999999996</v>
      </c>
      <c r="I5" s="865">
        <f>SUM(C5:H5)</f>
        <v>7183.49</v>
      </c>
      <c r="J5" s="662"/>
      <c r="K5" s="662"/>
    </row>
    <row r="6" spans="1:11">
      <c r="A6" s="697" t="s">
        <v>2184</v>
      </c>
      <c r="C6" s="662">
        <v>10.76</v>
      </c>
      <c r="D6" s="662">
        <f>58.4+0.44</f>
        <v>58.839999999999996</v>
      </c>
      <c r="E6" s="662"/>
      <c r="F6" s="662"/>
      <c r="G6" s="662">
        <v>3024.1791149999999</v>
      </c>
      <c r="H6" s="662">
        <v>163.22999999999999</v>
      </c>
      <c r="I6" s="865">
        <f t="shared" ref="I6:I12" si="0">SUM(C6:H6)</f>
        <v>3257.0091149999998</v>
      </c>
      <c r="J6" s="662"/>
      <c r="K6" s="662"/>
    </row>
    <row r="7" spans="1:11">
      <c r="A7" s="697" t="s">
        <v>2185</v>
      </c>
      <c r="C7" s="662">
        <v>0</v>
      </c>
      <c r="D7" s="662">
        <v>0</v>
      </c>
      <c r="E7" s="662"/>
      <c r="F7" s="662"/>
      <c r="G7" s="662">
        <v>58.51</v>
      </c>
      <c r="H7" s="662">
        <v>0</v>
      </c>
      <c r="I7" s="865">
        <f t="shared" si="0"/>
        <v>58.51</v>
      </c>
      <c r="J7" s="662"/>
      <c r="K7" s="662"/>
    </row>
    <row r="8" spans="1:11">
      <c r="A8" s="697" t="s">
        <v>2186</v>
      </c>
      <c r="C8" s="662">
        <v>0</v>
      </c>
      <c r="D8" s="662">
        <v>0</v>
      </c>
      <c r="E8" s="662"/>
      <c r="F8" s="662"/>
      <c r="G8" s="662">
        <v>5.0500000000000003E-2</v>
      </c>
      <c r="H8" s="662">
        <v>0</v>
      </c>
      <c r="I8" s="865">
        <f t="shared" si="0"/>
        <v>5.0500000000000003E-2</v>
      </c>
      <c r="J8" s="662"/>
      <c r="K8" s="662"/>
    </row>
    <row r="9" spans="1:11">
      <c r="A9" s="697" t="s">
        <v>2225</v>
      </c>
      <c r="C9" s="662">
        <v>383.27</v>
      </c>
      <c r="D9" s="662">
        <v>0</v>
      </c>
      <c r="E9" s="662"/>
      <c r="F9" s="662"/>
      <c r="G9" s="662">
        <v>5.5549999999999997</v>
      </c>
      <c r="H9" s="662">
        <v>0</v>
      </c>
      <c r="I9" s="865">
        <f t="shared" si="0"/>
        <v>388.82499999999999</v>
      </c>
      <c r="J9" s="662"/>
      <c r="K9" s="662"/>
    </row>
    <row r="10" spans="1:11">
      <c r="A10" s="697" t="s">
        <v>2188</v>
      </c>
      <c r="C10" s="662">
        <v>1123.43</v>
      </c>
      <c r="D10" s="662">
        <v>0</v>
      </c>
      <c r="E10" s="662"/>
      <c r="F10" s="662"/>
      <c r="G10" s="662"/>
      <c r="H10" s="662">
        <v>0</v>
      </c>
      <c r="I10" s="865">
        <f t="shared" si="0"/>
        <v>1123.43</v>
      </c>
      <c r="J10" s="662"/>
      <c r="K10" s="662"/>
    </row>
    <row r="11" spans="1:11">
      <c r="A11" s="697" t="s">
        <v>2189</v>
      </c>
      <c r="C11" s="662">
        <v>1866.95</v>
      </c>
      <c r="D11" s="662">
        <v>0</v>
      </c>
      <c r="E11" s="662"/>
      <c r="F11" s="662"/>
      <c r="G11" s="662">
        <f>54.66+52.48</f>
        <v>107.13999999999999</v>
      </c>
      <c r="H11" s="662">
        <v>0</v>
      </c>
      <c r="I11" s="865">
        <f t="shared" si="0"/>
        <v>1974.0900000000001</v>
      </c>
      <c r="J11" s="662"/>
      <c r="K11" s="866"/>
    </row>
    <row r="12" spans="1:11">
      <c r="A12" s="697" t="s">
        <v>2190</v>
      </c>
      <c r="C12" s="662">
        <v>0</v>
      </c>
      <c r="D12" s="662">
        <v>0</v>
      </c>
      <c r="E12" s="662"/>
      <c r="F12" s="866">
        <v>70.399500000000003</v>
      </c>
      <c r="G12" s="662"/>
      <c r="H12" s="662">
        <v>0</v>
      </c>
      <c r="I12" s="865">
        <f t="shared" si="0"/>
        <v>70.399500000000003</v>
      </c>
      <c r="J12" s="662"/>
      <c r="K12" s="662"/>
    </row>
    <row r="13" spans="1:11">
      <c r="A13" s="287" t="s">
        <v>2192</v>
      </c>
      <c r="C13" s="867">
        <f t="shared" ref="C13:I13" si="1">SUM(C5:C12)</f>
        <v>3792.26</v>
      </c>
      <c r="D13" s="867">
        <f t="shared" si="1"/>
        <v>59.809999999999995</v>
      </c>
      <c r="E13" s="867">
        <f t="shared" si="1"/>
        <v>5327.9</v>
      </c>
      <c r="F13" s="867">
        <f t="shared" si="1"/>
        <v>101.99950000000001</v>
      </c>
      <c r="G13" s="867">
        <f t="shared" si="1"/>
        <v>4606.0046150000007</v>
      </c>
      <c r="H13" s="867">
        <f t="shared" si="1"/>
        <v>167.82999999999998</v>
      </c>
      <c r="I13" s="867">
        <f t="shared" si="1"/>
        <v>14055.804114999999</v>
      </c>
      <c r="J13" s="662">
        <f>SUM(C13:H13)</f>
        <v>14055.804115000001</v>
      </c>
      <c r="K13" s="662"/>
    </row>
    <row r="14" spans="1:11">
      <c r="C14" s="662"/>
      <c r="D14" s="662"/>
      <c r="E14" s="662"/>
      <c r="F14" s="662"/>
      <c r="G14" s="662"/>
      <c r="H14" s="662"/>
      <c r="I14" s="662"/>
      <c r="J14" s="662"/>
      <c r="K14" s="662"/>
    </row>
    <row r="15" spans="1:11">
      <c r="A15" s="864" t="s">
        <v>2193</v>
      </c>
      <c r="C15" s="662"/>
      <c r="D15" s="662"/>
      <c r="E15" s="662"/>
      <c r="F15" s="662"/>
      <c r="G15" s="662"/>
      <c r="H15" s="662"/>
      <c r="I15" s="662"/>
      <c r="J15" s="662"/>
      <c r="K15" s="662"/>
    </row>
    <row r="16" spans="1:11">
      <c r="A16" s="697" t="s">
        <v>2194</v>
      </c>
      <c r="C16" s="662">
        <v>2.0550000000000002</v>
      </c>
      <c r="D16" s="662">
        <v>14.95</v>
      </c>
      <c r="E16" s="662"/>
      <c r="F16" s="662"/>
      <c r="G16" s="662"/>
      <c r="H16" s="662">
        <v>56.54</v>
      </c>
      <c r="I16" s="865">
        <f t="shared" ref="I16:I25" si="2">SUM(C16:H16)</f>
        <v>73.545000000000002</v>
      </c>
      <c r="J16" s="662"/>
      <c r="K16" s="662"/>
    </row>
    <row r="17" spans="1:11">
      <c r="A17" s="697" t="s">
        <v>2195</v>
      </c>
      <c r="C17" s="662">
        <v>0</v>
      </c>
      <c r="D17" s="662">
        <v>4.2229999999999999</v>
      </c>
      <c r="E17" s="662"/>
      <c r="F17" s="662"/>
      <c r="G17" s="662">
        <f>0.37+4.4416</f>
        <v>4.8116000000000003</v>
      </c>
      <c r="H17" s="662">
        <v>137.233</v>
      </c>
      <c r="I17" s="865">
        <f t="shared" si="2"/>
        <v>146.26760000000002</v>
      </c>
      <c r="J17" s="662"/>
      <c r="K17" s="662"/>
    </row>
    <row r="18" spans="1:11">
      <c r="A18" s="697" t="s">
        <v>2224</v>
      </c>
      <c r="C18" s="662">
        <v>0</v>
      </c>
      <c r="D18" s="662"/>
      <c r="E18" s="662"/>
      <c r="F18" s="662"/>
      <c r="G18" s="662"/>
      <c r="H18" s="662">
        <v>6.3525</v>
      </c>
      <c r="I18" s="865">
        <f t="shared" si="2"/>
        <v>6.3525</v>
      </c>
      <c r="J18" s="662"/>
      <c r="K18" s="662"/>
    </row>
    <row r="19" spans="1:11">
      <c r="A19" s="697" t="s">
        <v>2197</v>
      </c>
      <c r="C19" s="662">
        <v>0</v>
      </c>
      <c r="D19" s="662">
        <v>0.24418000000000001</v>
      </c>
      <c r="E19" s="662"/>
      <c r="F19" s="662"/>
      <c r="G19" s="662"/>
      <c r="H19" s="662">
        <v>15.2339</v>
      </c>
      <c r="I19" s="865">
        <f t="shared" si="2"/>
        <v>15.47808</v>
      </c>
      <c r="J19" s="662"/>
      <c r="K19" s="662"/>
    </row>
    <row r="20" spans="1:11">
      <c r="A20" s="697" t="s">
        <v>2200</v>
      </c>
      <c r="C20" s="662">
        <v>0</v>
      </c>
      <c r="E20" s="662"/>
      <c r="F20" s="662"/>
      <c r="G20" s="662"/>
      <c r="H20" s="662">
        <v>0</v>
      </c>
      <c r="I20" s="865">
        <f t="shared" si="2"/>
        <v>0</v>
      </c>
      <c r="J20" s="662"/>
      <c r="K20" s="662"/>
    </row>
    <row r="21" spans="1:11">
      <c r="A21" s="697" t="s">
        <v>2201</v>
      </c>
      <c r="C21" s="662">
        <v>0</v>
      </c>
      <c r="D21" s="662">
        <f>1.13085+0.484</f>
        <v>1.6148499999999999</v>
      </c>
      <c r="E21" s="662"/>
      <c r="F21" s="662"/>
      <c r="G21" s="662">
        <v>8.5000000000000006E-2</v>
      </c>
      <c r="H21" s="662">
        <v>75.339699999999993</v>
      </c>
      <c r="I21" s="865">
        <f t="shared" si="2"/>
        <v>77.039549999999991</v>
      </c>
      <c r="J21" s="662"/>
      <c r="K21" s="662"/>
    </row>
    <row r="22" spans="1:11">
      <c r="A22" s="697" t="s">
        <v>2202</v>
      </c>
      <c r="C22" s="662">
        <v>0</v>
      </c>
      <c r="D22" s="662"/>
      <c r="E22" s="662"/>
      <c r="F22" s="662"/>
      <c r="G22" s="662">
        <v>243.06</v>
      </c>
      <c r="H22" s="662">
        <v>0</v>
      </c>
      <c r="I22" s="865">
        <f t="shared" si="2"/>
        <v>243.06</v>
      </c>
      <c r="J22" s="662"/>
      <c r="K22" s="662"/>
    </row>
    <row r="23" spans="1:11">
      <c r="A23" s="697" t="s">
        <v>2204</v>
      </c>
      <c r="C23" s="662">
        <v>11.769</v>
      </c>
      <c r="D23" s="662">
        <f>9.483+0.0305</f>
        <v>9.5135000000000005</v>
      </c>
      <c r="E23" s="662"/>
      <c r="F23" s="662"/>
      <c r="G23" s="662">
        <v>4.41</v>
      </c>
      <c r="H23" s="662">
        <v>0</v>
      </c>
      <c r="I23" s="865">
        <f t="shared" si="2"/>
        <v>25.692499999999999</v>
      </c>
      <c r="J23" s="662"/>
      <c r="K23" s="662"/>
    </row>
    <row r="24" spans="1:11">
      <c r="A24" s="697" t="s">
        <v>2205</v>
      </c>
      <c r="C24" s="662">
        <v>0</v>
      </c>
      <c r="D24" s="662"/>
      <c r="E24" s="662"/>
      <c r="F24" s="662"/>
      <c r="G24" s="662"/>
      <c r="H24" s="662">
        <v>0</v>
      </c>
      <c r="I24" s="865">
        <f t="shared" si="2"/>
        <v>0</v>
      </c>
      <c r="J24" s="662"/>
      <c r="K24" s="662"/>
    </row>
    <row r="25" spans="1:11">
      <c r="A25" s="697" t="s">
        <v>604</v>
      </c>
      <c r="C25" s="662">
        <v>0</v>
      </c>
      <c r="D25" s="662">
        <v>3.0810000000000001E-2</v>
      </c>
      <c r="E25" s="662"/>
      <c r="F25" s="662">
        <v>90.8</v>
      </c>
      <c r="G25" s="662">
        <v>171.92</v>
      </c>
      <c r="H25" s="662">
        <v>12.082700000000001</v>
      </c>
      <c r="I25" s="865">
        <f t="shared" si="2"/>
        <v>274.83350999999999</v>
      </c>
      <c r="J25" s="662"/>
      <c r="K25" s="662"/>
    </row>
    <row r="26" spans="1:11">
      <c r="A26" s="287" t="s">
        <v>2207</v>
      </c>
      <c r="C26" s="867">
        <f t="shared" ref="C26:I26" si="3">SUM(C16:C25)</f>
        <v>13.824</v>
      </c>
      <c r="D26" s="867">
        <f t="shared" si="3"/>
        <v>30.576339999999998</v>
      </c>
      <c r="E26" s="867">
        <f t="shared" si="3"/>
        <v>0</v>
      </c>
      <c r="F26" s="867">
        <f t="shared" si="3"/>
        <v>90.8</v>
      </c>
      <c r="G26" s="867">
        <f t="shared" si="3"/>
        <v>424.28660000000002</v>
      </c>
      <c r="H26" s="867">
        <f t="shared" si="3"/>
        <v>302.78179999999998</v>
      </c>
      <c r="I26" s="867">
        <f t="shared" si="3"/>
        <v>862.26873999999998</v>
      </c>
      <c r="J26" s="662">
        <f>SUM(C26:H26)</f>
        <v>862.26873999999998</v>
      </c>
      <c r="K26" s="662"/>
    </row>
    <row r="27" spans="1:11">
      <c r="C27" s="662"/>
      <c r="D27" s="662"/>
      <c r="E27" s="662"/>
      <c r="F27" s="662"/>
      <c r="G27" s="662"/>
      <c r="H27" s="662"/>
      <c r="I27" s="662"/>
      <c r="J27" s="662"/>
      <c r="K27" s="662"/>
    </row>
    <row r="28" spans="1:11">
      <c r="A28" s="697" t="s">
        <v>2210</v>
      </c>
      <c r="C28" s="662">
        <v>0</v>
      </c>
      <c r="D28" s="662"/>
      <c r="E28" s="662"/>
      <c r="F28" s="662"/>
      <c r="G28" s="662"/>
      <c r="H28" s="662">
        <v>0</v>
      </c>
      <c r="I28" s="865">
        <f>SUM(C28:H28)</f>
        <v>0</v>
      </c>
      <c r="K28" s="662"/>
    </row>
    <row r="29" spans="1:11">
      <c r="A29" s="697" t="s">
        <v>2211</v>
      </c>
      <c r="C29" s="662">
        <v>0</v>
      </c>
      <c r="D29" s="662"/>
      <c r="E29" s="662"/>
      <c r="F29" s="662"/>
      <c r="G29" s="866">
        <v>11</v>
      </c>
      <c r="H29" s="662">
        <v>0</v>
      </c>
      <c r="I29" s="868">
        <f>SUM(C29:H29)</f>
        <v>11</v>
      </c>
      <c r="K29" s="662"/>
    </row>
    <row r="30" spans="1:11">
      <c r="A30" s="697" t="s">
        <v>2212</v>
      </c>
      <c r="C30" s="662">
        <v>0</v>
      </c>
      <c r="D30" s="662"/>
      <c r="E30" s="662"/>
      <c r="F30" s="662"/>
      <c r="G30" s="662"/>
      <c r="H30" s="662">
        <v>0</v>
      </c>
      <c r="I30" s="865">
        <f>SUM(C30:H30)</f>
        <v>0</v>
      </c>
      <c r="J30" s="662"/>
      <c r="K30" s="662"/>
    </row>
    <row r="31" spans="1:11">
      <c r="A31" s="697" t="s">
        <v>2213</v>
      </c>
      <c r="C31" s="662">
        <v>0</v>
      </c>
      <c r="D31" s="662"/>
      <c r="E31" s="662"/>
      <c r="F31" s="662"/>
      <c r="G31" s="662"/>
      <c r="H31" s="662">
        <v>0</v>
      </c>
      <c r="I31" s="865">
        <f>SUM(C31:H31)</f>
        <v>0</v>
      </c>
      <c r="J31" s="662"/>
      <c r="K31" s="662"/>
    </row>
    <row r="32" spans="1:11">
      <c r="A32" s="697" t="s">
        <v>604</v>
      </c>
      <c r="C32" s="662">
        <v>0</v>
      </c>
      <c r="D32" s="662">
        <v>450.00081</v>
      </c>
      <c r="E32" s="662"/>
      <c r="F32" s="662"/>
      <c r="G32" s="662"/>
      <c r="H32" s="662">
        <v>0</v>
      </c>
      <c r="I32" s="865">
        <f>SUM(C32:H32)</f>
        <v>450.00081</v>
      </c>
      <c r="J32" s="662"/>
      <c r="K32" s="662"/>
    </row>
    <row r="33" spans="1:256">
      <c r="A33" s="697" t="s">
        <v>2217</v>
      </c>
      <c r="C33" s="869">
        <f>C13+C26</f>
        <v>3806.0840000000003</v>
      </c>
      <c r="D33" s="662">
        <f>D13+D26+D28+D29+D30+D31+D32</f>
        <v>540.38715000000002</v>
      </c>
      <c r="E33" s="662">
        <f>E13+E26+E28+E29+E30+E31+E32</f>
        <v>5327.9</v>
      </c>
      <c r="F33" s="869">
        <f>F13+F26</f>
        <v>192.79950000000002</v>
      </c>
      <c r="G33" s="662">
        <f>G13+G26+G28+G29+G30+G31+G32</f>
        <v>5041.2912150000011</v>
      </c>
      <c r="H33" s="869">
        <f>H13+H26</f>
        <v>470.61179999999996</v>
      </c>
      <c r="I33" s="869">
        <f>I13+I26+I28+I29+I30+I31+I32</f>
        <v>15379.073664999998</v>
      </c>
      <c r="J33" s="662">
        <f>SUM(C33:H33)</f>
        <v>15379.073665</v>
      </c>
      <c r="K33" s="662"/>
    </row>
    <row r="34" spans="1:256">
      <c r="C34" s="662"/>
      <c r="D34" s="662"/>
      <c r="E34" s="662"/>
      <c r="F34" s="662"/>
      <c r="G34" s="662"/>
      <c r="H34" s="662"/>
      <c r="I34" s="662">
        <f>SUM(I33)</f>
        <v>15379.073664999998</v>
      </c>
      <c r="J34" s="662"/>
      <c r="K34" s="662"/>
    </row>
    <row r="35" spans="1:256">
      <c r="A35" s="287" t="s">
        <v>2219</v>
      </c>
      <c r="C35" s="662"/>
      <c r="D35" s="662"/>
      <c r="E35" s="662"/>
      <c r="F35" s="662"/>
      <c r="G35" s="662"/>
      <c r="H35" s="662"/>
      <c r="I35" s="662"/>
      <c r="J35" s="662"/>
      <c r="K35" s="662"/>
    </row>
    <row r="36" spans="1:256">
      <c r="A36" s="697" t="s">
        <v>2220</v>
      </c>
      <c r="C36" s="662">
        <v>4604.8500000000004</v>
      </c>
      <c r="D36" s="662"/>
      <c r="E36" s="662">
        <v>6193.7217600000004</v>
      </c>
      <c r="F36" s="662"/>
      <c r="G36" s="662"/>
      <c r="H36" s="662"/>
      <c r="I36" s="662">
        <f>SUM(C36:H36)</f>
        <v>10798.571760000001</v>
      </c>
      <c r="J36" s="662"/>
      <c r="K36" s="662"/>
    </row>
    <row r="37" spans="1:256">
      <c r="A37" s="697" t="s">
        <v>56</v>
      </c>
      <c r="C37" s="662"/>
      <c r="D37" s="662">
        <v>434.72834</v>
      </c>
      <c r="E37" s="662"/>
      <c r="F37" s="662">
        <v>0.625</v>
      </c>
      <c r="G37" s="662">
        <v>8.6750000000000007</v>
      </c>
      <c r="H37" s="662"/>
      <c r="I37" s="662">
        <f>SUM(C37:H37)</f>
        <v>444.02834000000001</v>
      </c>
      <c r="J37" s="662">
        <f>SUM(I36:I39)</f>
        <v>11284.350100000001</v>
      </c>
      <c r="K37" s="662"/>
      <c r="IV37" s="662">
        <f>SUM(D37:IU37)</f>
        <v>12172.406780000001</v>
      </c>
    </row>
    <row r="38" spans="1:256">
      <c r="A38" s="697" t="s">
        <v>2222</v>
      </c>
      <c r="C38" s="662"/>
      <c r="D38" s="662"/>
      <c r="E38" s="662"/>
      <c r="F38" s="662"/>
      <c r="G38" s="866">
        <v>41.75</v>
      </c>
      <c r="H38" s="662"/>
      <c r="I38" s="866">
        <f>SUM(C38:H38)</f>
        <v>41.75</v>
      </c>
      <c r="J38" s="662"/>
      <c r="K38" s="662"/>
    </row>
    <row r="39" spans="1:256">
      <c r="A39" s="697" t="s">
        <v>604</v>
      </c>
      <c r="C39" s="662"/>
      <c r="D39" s="662"/>
      <c r="E39" s="662"/>
      <c r="F39" s="662"/>
      <c r="G39" s="662"/>
      <c r="H39" s="662"/>
      <c r="I39" s="662"/>
      <c r="J39" s="662"/>
      <c r="K39" s="662"/>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dimension ref="A1:H2"/>
  <sheetViews>
    <sheetView workbookViewId="0">
      <selection activeCell="L2" sqref="L2"/>
    </sheetView>
  </sheetViews>
  <sheetFormatPr defaultRowHeight="15"/>
  <sheetData>
    <row r="1" spans="1:8" s="697" customFormat="1">
      <c r="A1" s="518" t="s">
        <v>2252</v>
      </c>
      <c r="B1" s="899"/>
      <c r="C1" s="73"/>
      <c r="D1" s="73"/>
      <c r="E1" s="73"/>
      <c r="F1" s="73"/>
      <c r="G1" s="73"/>
      <c r="H1" s="883"/>
    </row>
    <row r="2" spans="1:8" s="697" customFormat="1">
      <c r="A2" s="751"/>
      <c r="B2" s="61"/>
      <c r="C2" s="707"/>
      <c r="D2" s="707"/>
      <c r="E2" s="707"/>
      <c r="F2" s="707"/>
      <c r="G2" s="707"/>
      <c r="H2" s="707"/>
    </row>
  </sheetData>
  <pageMargins left="0.7" right="0.7" top="0.75" bottom="0.75" header="0.3" footer="0.3"/>
  <pageSetup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dimension ref="A1:S73"/>
  <sheetViews>
    <sheetView workbookViewId="0">
      <selection activeCell="B61" sqref="B61"/>
    </sheetView>
  </sheetViews>
  <sheetFormatPr defaultRowHeight="15"/>
  <cols>
    <col min="1" max="1" width="22" customWidth="1"/>
    <col min="2" max="2" width="26.140625" bestFit="1" customWidth="1"/>
    <col min="3" max="3" width="18.140625" customWidth="1"/>
    <col min="4" max="4" width="14.7109375" style="150" bestFit="1" customWidth="1"/>
    <col min="5" max="5" width="11.5703125" style="55" customWidth="1"/>
    <col min="6" max="6" width="11.140625" style="698" customWidth="1"/>
    <col min="7" max="7" width="12" bestFit="1" customWidth="1"/>
    <col min="8" max="8" width="18" bestFit="1" customWidth="1"/>
    <col min="9" max="10" width="12.5703125" bestFit="1" customWidth="1"/>
    <col min="11" max="11" width="14.7109375" customWidth="1"/>
    <col min="12" max="12" width="11.85546875" bestFit="1" customWidth="1"/>
    <col min="13" max="13" width="12.5703125" customWidth="1"/>
    <col min="14" max="14" width="14.5703125" bestFit="1" customWidth="1"/>
    <col min="15" max="15" width="19.7109375" bestFit="1" customWidth="1"/>
    <col min="16" max="16" width="4.5703125" customWidth="1"/>
    <col min="17" max="17" width="13.85546875" customWidth="1"/>
  </cols>
  <sheetData>
    <row r="1" spans="1:19">
      <c r="A1" s="1" t="s">
        <v>871</v>
      </c>
      <c r="B1" s="1"/>
      <c r="C1" s="150"/>
      <c r="D1" s="55"/>
      <c r="E1"/>
      <c r="F1" s="697"/>
      <c r="S1" t="s">
        <v>2</v>
      </c>
    </row>
    <row r="2" spans="1:19">
      <c r="C2" s="150"/>
      <c r="D2" s="55"/>
      <c r="E2"/>
      <c r="F2" s="697"/>
      <c r="S2" t="s">
        <v>866</v>
      </c>
    </row>
    <row r="3" spans="1:19">
      <c r="A3" s="2" t="s">
        <v>693</v>
      </c>
      <c r="B3" s="2"/>
      <c r="C3" s="150"/>
      <c r="D3" s="55"/>
      <c r="E3"/>
      <c r="F3" s="697"/>
      <c r="S3" t="s">
        <v>588</v>
      </c>
    </row>
    <row r="4" spans="1:19" ht="17.25" customHeight="1">
      <c r="B4" s="2"/>
      <c r="C4" s="2"/>
      <c r="G4" s="1035" t="s">
        <v>774</v>
      </c>
      <c r="H4" s="1037"/>
      <c r="I4" s="1035" t="s">
        <v>775</v>
      </c>
      <c r="J4" s="1037"/>
      <c r="K4" s="1036"/>
      <c r="L4" s="1035" t="s">
        <v>776</v>
      </c>
      <c r="M4" s="1037"/>
      <c r="N4" s="1036"/>
      <c r="S4" t="s">
        <v>867</v>
      </c>
    </row>
    <row r="5" spans="1:19" s="151" customFormat="1" ht="33" customHeight="1">
      <c r="A5" s="172" t="s">
        <v>58</v>
      </c>
      <c r="B5" s="167" t="s">
        <v>1</v>
      </c>
      <c r="C5" s="171" t="s">
        <v>54</v>
      </c>
      <c r="D5" s="657" t="s">
        <v>695</v>
      </c>
      <c r="E5" s="1054" t="s">
        <v>696</v>
      </c>
      <c r="F5" s="1055"/>
      <c r="G5" s="169" t="s">
        <v>777</v>
      </c>
      <c r="H5" s="168" t="s">
        <v>778</v>
      </c>
      <c r="I5" s="170" t="s">
        <v>777</v>
      </c>
      <c r="J5" s="168" t="s">
        <v>778</v>
      </c>
      <c r="K5" s="174" t="s">
        <v>780</v>
      </c>
      <c r="L5" s="170" t="s">
        <v>777</v>
      </c>
      <c r="M5" s="168" t="s">
        <v>778</v>
      </c>
      <c r="N5" s="174" t="s">
        <v>780</v>
      </c>
      <c r="O5" s="172" t="s">
        <v>779</v>
      </c>
    </row>
    <row r="6" spans="1:19" s="150" customFormat="1" ht="15" customHeight="1">
      <c r="A6" s="165" t="s">
        <v>59</v>
      </c>
      <c r="B6" s="152" t="s">
        <v>773</v>
      </c>
      <c r="C6" s="156" t="s">
        <v>55</v>
      </c>
      <c r="D6" s="495">
        <f>'ATMOS NG Calculations'!F13</f>
        <v>313122.5354548808</v>
      </c>
      <c r="E6" s="1060">
        <f>1.025*D6</f>
        <v>320950.59884125279</v>
      </c>
      <c r="F6" s="1061"/>
      <c r="G6" s="153">
        <v>52.91</v>
      </c>
      <c r="H6" s="155">
        <f>G6*E6</f>
        <v>16981496.184690684</v>
      </c>
      <c r="I6" s="152">
        <v>5.0000000000000001E-3</v>
      </c>
      <c r="J6" s="164">
        <f>I6*$E6</f>
        <v>1604.752994206264</v>
      </c>
      <c r="K6" s="161">
        <f>J6*24</f>
        <v>38514.071860950338</v>
      </c>
      <c r="L6" s="152">
        <v>1E-4</v>
      </c>
      <c r="M6" s="164">
        <f>L6*$E6</f>
        <v>32.095059884125284</v>
      </c>
      <c r="N6" s="161">
        <f>M6*310</f>
        <v>9949.4685640788375</v>
      </c>
      <c r="O6" s="183">
        <f>SUM(H6,K6,N6)</f>
        <v>17029959.725115713</v>
      </c>
    </row>
    <row r="7" spans="1:19" s="150" customFormat="1" ht="15" customHeight="1">
      <c r="A7" s="165" t="s">
        <v>59</v>
      </c>
      <c r="B7" s="152" t="s">
        <v>773</v>
      </c>
      <c r="C7" s="156" t="s">
        <v>56</v>
      </c>
      <c r="D7" s="154">
        <f>'ATMOS NG Calculations'!F14</f>
        <v>204335.72657708294</v>
      </c>
      <c r="E7" s="1062">
        <f t="shared" ref="E7:E9" si="0">1.025*D7</f>
        <v>209444.11974150999</v>
      </c>
      <c r="F7" s="1063"/>
      <c r="G7" s="153">
        <v>52.91</v>
      </c>
      <c r="H7" s="155">
        <f>G7*E7</f>
        <v>11081688.375523293</v>
      </c>
      <c r="I7" s="152">
        <v>5.0000000000000001E-3</v>
      </c>
      <c r="J7" s="164">
        <f t="shared" ref="J7:J9" si="1">I7*$E7</f>
        <v>1047.2205987075499</v>
      </c>
      <c r="K7" s="161">
        <f t="shared" ref="K7:K9" si="2">J7*24</f>
        <v>25133.294368981198</v>
      </c>
      <c r="L7" s="152">
        <v>1E-4</v>
      </c>
      <c r="M7" s="164">
        <f t="shared" ref="M7:M9" si="3">L7*$E7</f>
        <v>20.944411974150999</v>
      </c>
      <c r="N7" s="161">
        <f t="shared" ref="N7:N9" si="4">M7*310</f>
        <v>6492.7677119868094</v>
      </c>
      <c r="O7" s="183">
        <f t="shared" ref="O7:O9" si="5">SUM(H7,K7,N7)</f>
        <v>11113314.437604262</v>
      </c>
    </row>
    <row r="8" spans="1:19" s="150" customFormat="1" ht="15" customHeight="1">
      <c r="A8" s="165" t="s">
        <v>59</v>
      </c>
      <c r="B8" s="152" t="s">
        <v>773</v>
      </c>
      <c r="C8" s="156" t="s">
        <v>57</v>
      </c>
      <c r="D8" s="154">
        <f>'ATMOS NG Calculations'!F18</f>
        <v>208339.04852607008</v>
      </c>
      <c r="E8" s="1062">
        <f t="shared" si="0"/>
        <v>213547.52473922182</v>
      </c>
      <c r="F8" s="1063"/>
      <c r="G8" s="153">
        <v>52.91</v>
      </c>
      <c r="H8" s="155">
        <f>G8*E8</f>
        <v>11298799.533952225</v>
      </c>
      <c r="I8" s="152">
        <v>1E-4</v>
      </c>
      <c r="J8" s="164">
        <f t="shared" si="1"/>
        <v>21.354752473922183</v>
      </c>
      <c r="K8" s="161">
        <f t="shared" si="2"/>
        <v>512.51405937413233</v>
      </c>
      <c r="L8" s="152">
        <v>1E-4</v>
      </c>
      <c r="M8" s="164">
        <f t="shared" si="3"/>
        <v>21.354752473922183</v>
      </c>
      <c r="N8" s="161">
        <f t="shared" si="4"/>
        <v>6619.9732669158766</v>
      </c>
      <c r="O8" s="183">
        <f t="shared" si="5"/>
        <v>11305932.021278515</v>
      </c>
    </row>
    <row r="9" spans="1:19" s="150" customFormat="1" ht="15" customHeight="1">
      <c r="A9" s="166" t="s">
        <v>59</v>
      </c>
      <c r="B9" s="157" t="s">
        <v>773</v>
      </c>
      <c r="C9" s="153" t="s">
        <v>2267</v>
      </c>
      <c r="D9" s="496">
        <f>'ATMOS NG Calculations'!F19</f>
        <v>45336.158100000001</v>
      </c>
      <c r="E9" s="1067">
        <f t="shared" si="0"/>
        <v>46469.562052499998</v>
      </c>
      <c r="F9" s="1068"/>
      <c r="G9" s="158">
        <v>52.91</v>
      </c>
      <c r="H9" s="159">
        <f>G9*E9</f>
        <v>2458704.5281977747</v>
      </c>
      <c r="I9" s="157">
        <v>5.0000000000000001E-3</v>
      </c>
      <c r="J9" s="173">
        <f t="shared" si="1"/>
        <v>232.34781026249999</v>
      </c>
      <c r="K9" s="162">
        <f t="shared" si="2"/>
        <v>5576.3474463000002</v>
      </c>
      <c r="L9" s="157">
        <v>1E-4</v>
      </c>
      <c r="M9" s="173">
        <f t="shared" si="3"/>
        <v>4.6469562052500004</v>
      </c>
      <c r="N9" s="162">
        <f t="shared" si="4"/>
        <v>1440.5564236275002</v>
      </c>
      <c r="O9" s="184">
        <f t="shared" si="5"/>
        <v>2465721.4320677021</v>
      </c>
    </row>
    <row r="10" spans="1:19" s="150" customFormat="1" ht="15" customHeight="1">
      <c r="A10" s="153"/>
      <c r="B10" s="153"/>
      <c r="C10" s="167" t="s">
        <v>863</v>
      </c>
      <c r="D10" s="653">
        <f>SUM(D6:D9)</f>
        <v>771133.46865803387</v>
      </c>
      <c r="E10" s="1067">
        <f>SUM(E6:E9)</f>
        <v>790411.80537448451</v>
      </c>
      <c r="F10" s="1068"/>
      <c r="G10" s="283"/>
      <c r="H10" s="282">
        <f t="shared" ref="H10:O10" si="6">SUM(H6:H9)</f>
        <v>41820688.622363977</v>
      </c>
      <c r="I10" s="482"/>
      <c r="J10" s="281">
        <f t="shared" si="6"/>
        <v>2905.6761556502361</v>
      </c>
      <c r="K10" s="282">
        <f t="shared" si="6"/>
        <v>69736.227735605658</v>
      </c>
      <c r="L10" s="281"/>
      <c r="M10" s="281">
        <f t="shared" si="6"/>
        <v>79.041180537448469</v>
      </c>
      <c r="N10" s="281">
        <f t="shared" si="6"/>
        <v>24502.765966609022</v>
      </c>
      <c r="O10" s="479">
        <f t="shared" si="6"/>
        <v>41914927.616066188</v>
      </c>
    </row>
    <row r="11" spans="1:19" s="153" customFormat="1" ht="15" customHeight="1">
      <c r="D11" s="154"/>
      <c r="E11" s="1064"/>
      <c r="F11" s="1064"/>
      <c r="H11" s="155"/>
    </row>
    <row r="12" spans="1:19" s="150" customFormat="1" ht="18" customHeight="1">
      <c r="E12" s="1064"/>
      <c r="F12" s="1064"/>
      <c r="G12" s="1038" t="s">
        <v>774</v>
      </c>
      <c r="H12" s="1039"/>
      <c r="I12" s="1037" t="s">
        <v>775</v>
      </c>
      <c r="J12" s="1037"/>
      <c r="K12" s="1036"/>
      <c r="L12" s="1035" t="s">
        <v>776</v>
      </c>
      <c r="M12" s="1037"/>
      <c r="N12" s="1036"/>
    </row>
    <row r="13" spans="1:19" s="151" customFormat="1" ht="34.5" customHeight="1">
      <c r="A13" s="172" t="s">
        <v>58</v>
      </c>
      <c r="B13" s="167" t="s">
        <v>1</v>
      </c>
      <c r="C13" s="168" t="s">
        <v>54</v>
      </c>
      <c r="D13" s="655"/>
      <c r="E13" s="1065" t="s">
        <v>696</v>
      </c>
      <c r="F13" s="1066"/>
      <c r="G13" s="169" t="s">
        <v>777</v>
      </c>
      <c r="H13" s="171" t="s">
        <v>778</v>
      </c>
      <c r="I13" s="169" t="s">
        <v>777</v>
      </c>
      <c r="J13" s="168" t="s">
        <v>778</v>
      </c>
      <c r="K13" s="174" t="s">
        <v>780</v>
      </c>
      <c r="L13" s="170" t="s">
        <v>777</v>
      </c>
      <c r="M13" s="168" t="s">
        <v>778</v>
      </c>
      <c r="N13" s="174" t="s">
        <v>780</v>
      </c>
      <c r="O13" s="172" t="s">
        <v>779</v>
      </c>
    </row>
    <row r="14" spans="1:19" s="150" customFormat="1" ht="15" customHeight="1">
      <c r="A14" s="165" t="s">
        <v>60</v>
      </c>
      <c r="B14" s="152" t="s">
        <v>686</v>
      </c>
      <c r="C14" s="153" t="s">
        <v>55</v>
      </c>
      <c r="D14" s="152"/>
      <c r="E14" s="1060">
        <f>'BE.1.2 Calculations'!H17*'BE.1.2 Calculations'!B17</f>
        <v>1037.4000000000001</v>
      </c>
      <c r="F14" s="1061"/>
      <c r="G14" s="180">
        <v>62.98</v>
      </c>
      <c r="H14" s="161">
        <f>G14*E14</f>
        <v>65335.452000000005</v>
      </c>
      <c r="I14" s="181">
        <f>0.001/0.092</f>
        <v>1.0869565217391304E-2</v>
      </c>
      <c r="J14" s="164">
        <f>I14*$E14</f>
        <v>11.276086956521739</v>
      </c>
      <c r="K14" s="161">
        <f>J14*24</f>
        <v>270.62608695652176</v>
      </c>
      <c r="L14" s="181">
        <f>0.0001/0.092</f>
        <v>1.0869565217391304E-3</v>
      </c>
      <c r="M14" s="164">
        <f>L14*$E14</f>
        <v>1.127608695652174</v>
      </c>
      <c r="N14" s="161">
        <f t="shared" ref="N14:N16" si="7">M14*310</f>
        <v>349.55869565217392</v>
      </c>
      <c r="O14" s="183">
        <f>SUM(H14,K14,N14)</f>
        <v>65955.636782608693</v>
      </c>
    </row>
    <row r="15" spans="1:19" s="150" customFormat="1" ht="15" customHeight="1">
      <c r="A15" s="165" t="s">
        <v>60</v>
      </c>
      <c r="B15" s="152" t="s">
        <v>685</v>
      </c>
      <c r="C15" s="153" t="s">
        <v>55</v>
      </c>
      <c r="D15" s="152"/>
      <c r="E15" s="1062">
        <f>'BE.1.2 Calculations'!H18*'BE.1.2 Calculations'!B18</f>
        <v>30422</v>
      </c>
      <c r="F15" s="1063"/>
      <c r="G15" s="180">
        <v>73.959999999999994</v>
      </c>
      <c r="H15" s="161">
        <f>G15*E15</f>
        <v>2250011.1199999996</v>
      </c>
      <c r="I15" s="181">
        <f>0.0015/0.138</f>
        <v>1.0869565217391304E-2</v>
      </c>
      <c r="J15" s="164">
        <f t="shared" ref="J15:J16" si="8">I15*$E15</f>
        <v>330.67391304347825</v>
      </c>
      <c r="K15" s="161">
        <f t="shared" ref="K15:K16" si="9">J15*24</f>
        <v>7936.173913043478</v>
      </c>
      <c r="L15" s="181">
        <f>0.0001/0.138</f>
        <v>7.246376811594203E-4</v>
      </c>
      <c r="M15" s="164">
        <f t="shared" ref="M15:M16" si="10">L15*$E15</f>
        <v>22.044927536231885</v>
      </c>
      <c r="N15" s="161">
        <f t="shared" si="7"/>
        <v>6833.927536231884</v>
      </c>
      <c r="O15" s="183">
        <f t="shared" ref="O15:O16" si="11">SUM(H15,K15,N15)</f>
        <v>2264781.221449275</v>
      </c>
    </row>
    <row r="16" spans="1:19" s="150" customFormat="1" ht="15" customHeight="1">
      <c r="A16" s="166" t="s">
        <v>60</v>
      </c>
      <c r="B16" s="157" t="s">
        <v>590</v>
      </c>
      <c r="C16" s="158" t="s">
        <v>55</v>
      </c>
      <c r="D16" s="157"/>
      <c r="E16" s="1067">
        <f>'BE.1.2 Calculations'!H19*'BE.1.2 Calculations'!B19</f>
        <v>2086</v>
      </c>
      <c r="F16" s="1068"/>
      <c r="G16" s="250">
        <v>93.8</v>
      </c>
      <c r="H16" s="162">
        <f>G16*E16</f>
        <v>195666.8</v>
      </c>
      <c r="I16" s="182">
        <v>0.316</v>
      </c>
      <c r="J16" s="173">
        <f t="shared" si="8"/>
        <v>659.17600000000004</v>
      </c>
      <c r="K16" s="162">
        <f t="shared" si="9"/>
        <v>15820.224000000002</v>
      </c>
      <c r="L16" s="182">
        <v>4.1999999999999997E-3</v>
      </c>
      <c r="M16" s="173">
        <f t="shared" si="10"/>
        <v>8.7611999999999988</v>
      </c>
      <c r="N16" s="162">
        <f t="shared" si="7"/>
        <v>2715.9719999999998</v>
      </c>
      <c r="O16" s="184">
        <f t="shared" si="11"/>
        <v>214202.99599999998</v>
      </c>
    </row>
    <row r="17" spans="1:15" s="150" customFormat="1" ht="15" customHeight="1">
      <c r="B17" s="153"/>
      <c r="C17" s="167" t="s">
        <v>863</v>
      </c>
      <c r="D17" s="653"/>
      <c r="E17" s="1067">
        <f>SUM(E14:E16)</f>
        <v>33545.4</v>
      </c>
      <c r="F17" s="1068"/>
      <c r="G17" s="281"/>
      <c r="H17" s="282">
        <f t="shared" ref="H17:O17" si="12">SUM(H14:H16)</f>
        <v>2511013.3719999995</v>
      </c>
      <c r="I17" s="281"/>
      <c r="J17" s="281">
        <f t="shared" si="12"/>
        <v>1001.126</v>
      </c>
      <c r="K17" s="281">
        <f t="shared" si="12"/>
        <v>24027.024000000001</v>
      </c>
      <c r="L17" s="485"/>
      <c r="M17" s="281">
        <f t="shared" si="12"/>
        <v>31.933736231884058</v>
      </c>
      <c r="N17" s="282">
        <f t="shared" si="12"/>
        <v>9899.4582318840585</v>
      </c>
      <c r="O17" s="282">
        <f t="shared" si="12"/>
        <v>2544939.8542318833</v>
      </c>
    </row>
    <row r="18" spans="1:15" ht="15" customHeight="1">
      <c r="A18" s="2" t="s">
        <v>694</v>
      </c>
      <c r="C18" s="150"/>
      <c r="D18" s="55"/>
      <c r="E18" s="1069"/>
      <c r="F18" s="1069"/>
    </row>
    <row r="19" spans="1:15" ht="18" customHeight="1">
      <c r="B19" s="2"/>
      <c r="E19" s="1064"/>
      <c r="F19" s="1064"/>
      <c r="G19" s="1038" t="s">
        <v>774</v>
      </c>
      <c r="H19" s="1039"/>
      <c r="I19" s="1037" t="s">
        <v>775</v>
      </c>
      <c r="J19" s="1037"/>
      <c r="K19" s="1036"/>
      <c r="L19" s="1035" t="s">
        <v>776</v>
      </c>
      <c r="M19" s="1037"/>
      <c r="N19" s="1036"/>
    </row>
    <row r="20" spans="1:15" s="150" customFormat="1" ht="30">
      <c r="A20" s="172" t="s">
        <v>58</v>
      </c>
      <c r="B20" s="796" t="s">
        <v>697</v>
      </c>
      <c r="C20" s="797" t="s">
        <v>54</v>
      </c>
      <c r="D20" s="169" t="s">
        <v>700</v>
      </c>
      <c r="E20" s="1060" t="s">
        <v>696</v>
      </c>
      <c r="F20" s="1061"/>
      <c r="G20" s="169" t="s">
        <v>777</v>
      </c>
      <c r="H20" s="171" t="s">
        <v>778</v>
      </c>
      <c r="I20" s="169" t="s">
        <v>777</v>
      </c>
      <c r="J20" s="168" t="s">
        <v>778</v>
      </c>
      <c r="K20" s="174" t="s">
        <v>780</v>
      </c>
      <c r="L20" s="170" t="s">
        <v>777</v>
      </c>
      <c r="M20" s="168" t="s">
        <v>778</v>
      </c>
      <c r="N20" s="174" t="s">
        <v>780</v>
      </c>
      <c r="O20" s="172" t="s">
        <v>779</v>
      </c>
    </row>
    <row r="21" spans="1:15" s="150" customFormat="1" ht="15" customHeight="1">
      <c r="A21" s="152" t="s">
        <v>699</v>
      </c>
      <c r="B21" s="631" t="s">
        <v>698</v>
      </c>
      <c r="C21" s="632" t="s">
        <v>55</v>
      </c>
      <c r="D21" s="175">
        <f>'2006 - 2009 APCO Billed kWh''s'!T28</f>
        <v>103801013</v>
      </c>
      <c r="E21" s="1060">
        <f>D21*3412.12/1000000</f>
        <v>354181.51247755997</v>
      </c>
      <c r="F21" s="1061"/>
      <c r="G21" s="249">
        <f>'APCO Emission Factors'!F$4*0.454/3412.12*1000</f>
        <v>242.82557471601234</v>
      </c>
      <c r="H21" s="178">
        <f t="shared" ref="H21:H28" si="13">G21*E21</f>
        <v>86004329.32114999</v>
      </c>
      <c r="I21" s="176">
        <f>18.12*0.454/3412.12</f>
        <v>2.4109585829337776E-3</v>
      </c>
      <c r="J21" s="155">
        <f t="shared" ref="J21:J28" si="14">I21*E21</f>
        <v>853.91695742424008</v>
      </c>
      <c r="K21" s="161">
        <f>J21*24</f>
        <v>20494.006978181762</v>
      </c>
      <c r="L21" s="176">
        <f>25.13*0.454/3412.12</f>
        <v>3.3436749000621316E-3</v>
      </c>
      <c r="M21" s="155">
        <f t="shared" ref="M21:M28" si="15">L21*E21</f>
        <v>1184.2678333372598</v>
      </c>
      <c r="N21" s="161">
        <f t="shared" ref="N21:N28" si="16">M21*310</f>
        <v>367123.02833455056</v>
      </c>
      <c r="O21" s="183">
        <f>SUM(H21,K21,N21)</f>
        <v>86391946.356462717</v>
      </c>
    </row>
    <row r="22" spans="1:15" s="150" customFormat="1" ht="15" customHeight="1">
      <c r="A22" s="152" t="s">
        <v>699</v>
      </c>
      <c r="B22" s="152" t="s">
        <v>698</v>
      </c>
      <c r="C22" s="156" t="s">
        <v>56</v>
      </c>
      <c r="D22" s="175">
        <f>'2006 - 2009 APCO Billed kWh''s'!T29</f>
        <v>50991594</v>
      </c>
      <c r="E22" s="1062">
        <f>D22*3412.12/1000000</f>
        <v>173989.43771927999</v>
      </c>
      <c r="F22" s="1063"/>
      <c r="G22" s="249">
        <f>'APCO Emission Factors'!F$4*0.454/3412.12*1000</f>
        <v>242.82557471601234</v>
      </c>
      <c r="H22" s="178">
        <f t="shared" si="13"/>
        <v>42249085.208700001</v>
      </c>
      <c r="I22" s="176">
        <f t="shared" ref="I22:I28" si="17">18.12*0.454/3412.12</f>
        <v>2.4109585829337776E-3</v>
      </c>
      <c r="J22" s="155">
        <f t="shared" si="14"/>
        <v>419.48132820912002</v>
      </c>
      <c r="K22" s="161">
        <f t="shared" ref="K22:K28" si="18">J22*24</f>
        <v>10067.551877018881</v>
      </c>
      <c r="L22" s="176">
        <f t="shared" ref="L22:L28" si="19">25.13*0.454/3412.12</f>
        <v>3.3436749000621316E-3</v>
      </c>
      <c r="M22" s="155">
        <f t="shared" si="15"/>
        <v>581.76411577787997</v>
      </c>
      <c r="N22" s="161">
        <f t="shared" si="16"/>
        <v>180346.87589114279</v>
      </c>
      <c r="O22" s="183">
        <f t="shared" ref="O22:O28" si="20">SUM(H22,K22,N22)</f>
        <v>42439499.636468165</v>
      </c>
    </row>
    <row r="23" spans="1:15" s="150" customFormat="1" ht="15" customHeight="1">
      <c r="A23" s="152" t="s">
        <v>699</v>
      </c>
      <c r="B23" s="152" t="s">
        <v>698</v>
      </c>
      <c r="C23" s="156" t="s">
        <v>57</v>
      </c>
      <c r="D23" s="175">
        <f>'2006 - 2009 APCO Billed kWh''s'!T30</f>
        <v>35665190</v>
      </c>
      <c r="E23" s="1062">
        <f>D23*3412.12/1000000</f>
        <v>121693.90810280001</v>
      </c>
      <c r="F23" s="1063"/>
      <c r="G23" s="249">
        <f>'APCO Emission Factors'!F$4*0.454/3412.12*1000</f>
        <v>242.82557471601234</v>
      </c>
      <c r="H23" s="178">
        <f t="shared" si="13"/>
        <v>29550393.174500003</v>
      </c>
      <c r="I23" s="176">
        <f t="shared" si="17"/>
        <v>2.4109585829337776E-3</v>
      </c>
      <c r="J23" s="155">
        <f t="shared" si="14"/>
        <v>293.39897223120005</v>
      </c>
      <c r="K23" s="161">
        <f t="shared" si="18"/>
        <v>7041.5753335488007</v>
      </c>
      <c r="L23" s="176">
        <f t="shared" si="19"/>
        <v>3.3436749000621316E-3</v>
      </c>
      <c r="M23" s="155">
        <f t="shared" si="15"/>
        <v>406.90486601380007</v>
      </c>
      <c r="N23" s="161">
        <f t="shared" si="16"/>
        <v>126140.50846427803</v>
      </c>
      <c r="O23" s="183">
        <f t="shared" si="20"/>
        <v>29683575.258297831</v>
      </c>
    </row>
    <row r="24" spans="1:15" s="150" customFormat="1" ht="15" customHeight="1">
      <c r="A24" s="152" t="s">
        <v>699</v>
      </c>
      <c r="B24" s="152" t="s">
        <v>698</v>
      </c>
      <c r="C24" s="156" t="s">
        <v>2267</v>
      </c>
      <c r="D24" s="175">
        <f>'2006 - 2009 APCO Billed kWh''s'!T31</f>
        <v>10572993</v>
      </c>
      <c r="E24" s="1062">
        <f t="shared" ref="E24:E28" si="21">D24*3412.12/1000000</f>
        <v>36076.320875159996</v>
      </c>
      <c r="F24" s="1063"/>
      <c r="G24" s="249">
        <f>'APCO Emission Factors'!F$4*0.454/3412.12*1000</f>
        <v>242.82557471601234</v>
      </c>
      <c r="H24" s="178">
        <f t="shared" si="13"/>
        <v>8760253.3501499984</v>
      </c>
      <c r="I24" s="176">
        <f t="shared" si="17"/>
        <v>2.4109585829337776E-3</v>
      </c>
      <c r="J24" s="155">
        <f t="shared" si="14"/>
        <v>86.978515454640004</v>
      </c>
      <c r="K24" s="161">
        <f t="shared" si="18"/>
        <v>2087.4843709113602</v>
      </c>
      <c r="L24" s="176">
        <f t="shared" si="19"/>
        <v>3.3436749000621316E-3</v>
      </c>
      <c r="M24" s="155">
        <f t="shared" si="15"/>
        <v>120.62748859685999</v>
      </c>
      <c r="N24" s="161">
        <f t="shared" si="16"/>
        <v>37394.521465026599</v>
      </c>
      <c r="O24" s="183">
        <f t="shared" si="20"/>
        <v>8799735.3559859358</v>
      </c>
    </row>
    <row r="25" spans="1:15" s="150" customFormat="1" ht="15" customHeight="1">
      <c r="A25" s="152" t="s">
        <v>699</v>
      </c>
      <c r="B25" s="152" t="s">
        <v>717</v>
      </c>
      <c r="C25" s="156" t="s">
        <v>55</v>
      </c>
      <c r="D25" s="175">
        <f>'2009 VTES Billed kWh''s'!C46</f>
        <v>52823524</v>
      </c>
      <c r="E25" s="1062">
        <f t="shared" si="21"/>
        <v>180240.20271088</v>
      </c>
      <c r="F25" s="1063"/>
      <c r="G25" s="249">
        <f>'APCO Emission Factors'!F$4*0.454/3412.12*1000</f>
        <v>242.82557471601234</v>
      </c>
      <c r="H25" s="178">
        <f t="shared" si="13"/>
        <v>43766930.810199998</v>
      </c>
      <c r="I25" s="176">
        <f t="shared" si="17"/>
        <v>2.4109585829337776E-3</v>
      </c>
      <c r="J25" s="155">
        <f t="shared" si="14"/>
        <v>434.55166371552008</v>
      </c>
      <c r="K25" s="161">
        <f t="shared" si="18"/>
        <v>10429.239929172481</v>
      </c>
      <c r="L25" s="176">
        <f t="shared" si="19"/>
        <v>3.3436749000621316E-3</v>
      </c>
      <c r="M25" s="155">
        <f t="shared" si="15"/>
        <v>602.66464178648005</v>
      </c>
      <c r="N25" s="161">
        <f t="shared" si="16"/>
        <v>186826.03895380881</v>
      </c>
      <c r="O25" s="183">
        <f t="shared" si="20"/>
        <v>43964186.089082979</v>
      </c>
    </row>
    <row r="26" spans="1:15" s="150" customFormat="1" ht="15" customHeight="1">
      <c r="A26" s="152" t="s">
        <v>699</v>
      </c>
      <c r="B26" s="152" t="s">
        <v>717</v>
      </c>
      <c r="C26" s="156" t="s">
        <v>56</v>
      </c>
      <c r="D26" s="175">
        <f>'2009 VTES Billed kWh''s'!C47</f>
        <v>55614780</v>
      </c>
      <c r="E26" s="1062">
        <f t="shared" si="21"/>
        <v>189764.30313360001</v>
      </c>
      <c r="F26" s="1063"/>
      <c r="G26" s="249">
        <f>'APCO Emission Factors'!F$4*0.454/3412.12*1000</f>
        <v>242.82557471601234</v>
      </c>
      <c r="H26" s="178">
        <f t="shared" si="13"/>
        <v>46079625.969000004</v>
      </c>
      <c r="I26" s="176">
        <f t="shared" si="17"/>
        <v>2.4109585829337776E-3</v>
      </c>
      <c r="J26" s="155">
        <f t="shared" si="14"/>
        <v>457.51387537440007</v>
      </c>
      <c r="K26" s="161">
        <f t="shared" si="18"/>
        <v>10980.333008985603</v>
      </c>
      <c r="L26" s="176">
        <f t="shared" si="19"/>
        <v>3.3436749000621316E-3</v>
      </c>
      <c r="M26" s="155">
        <f t="shared" si="15"/>
        <v>634.5101373156001</v>
      </c>
      <c r="N26" s="161">
        <f t="shared" si="16"/>
        <v>196698.14256783604</v>
      </c>
      <c r="O26" s="183">
        <f t="shared" si="20"/>
        <v>46287304.444576822</v>
      </c>
    </row>
    <row r="27" spans="1:15" s="150" customFormat="1" ht="15" customHeight="1">
      <c r="A27" s="152" t="s">
        <v>699</v>
      </c>
      <c r="B27" s="152" t="s">
        <v>717</v>
      </c>
      <c r="C27" s="156" t="s">
        <v>57</v>
      </c>
      <c r="D27" s="175">
        <f>'2009 VTES Billed kWh''s'!C48</f>
        <v>12441420</v>
      </c>
      <c r="E27" s="1062">
        <f t="shared" si="21"/>
        <v>42451.618010400001</v>
      </c>
      <c r="F27" s="1063"/>
      <c r="G27" s="249">
        <f>'APCO Emission Factors'!F$4*0.454/3412.12*1000</f>
        <v>242.82557471601234</v>
      </c>
      <c r="H27" s="178">
        <f t="shared" si="13"/>
        <v>10308338.541000001</v>
      </c>
      <c r="I27" s="176">
        <f t="shared" si="17"/>
        <v>2.4109585829337776E-3</v>
      </c>
      <c r="J27" s="155">
        <f t="shared" si="14"/>
        <v>102.34909280160002</v>
      </c>
      <c r="K27" s="161">
        <f t="shared" si="18"/>
        <v>2456.3782272384005</v>
      </c>
      <c r="L27" s="176">
        <f t="shared" si="19"/>
        <v>3.3436749000621316E-3</v>
      </c>
      <c r="M27" s="155">
        <f t="shared" si="15"/>
        <v>141.94440960840001</v>
      </c>
      <c r="N27" s="161">
        <f t="shared" si="16"/>
        <v>44002.766978604006</v>
      </c>
      <c r="O27" s="183">
        <f t="shared" si="20"/>
        <v>10354797.686205843</v>
      </c>
    </row>
    <row r="28" spans="1:15" s="150" customFormat="1" ht="15" customHeight="1">
      <c r="A28" s="157" t="s">
        <v>699</v>
      </c>
      <c r="B28" s="157" t="s">
        <v>717</v>
      </c>
      <c r="C28" s="160" t="s">
        <v>2267</v>
      </c>
      <c r="D28" s="175">
        <f>'2009 VTES Billed kWh''s'!C49</f>
        <v>6865846.0600000005</v>
      </c>
      <c r="E28" s="1067">
        <f t="shared" si="21"/>
        <v>23427.090658247202</v>
      </c>
      <c r="F28" s="1068"/>
      <c r="G28" s="249">
        <f>'APCO Emission Factors'!F$4*0.454/3412.12*1000</f>
        <v>242.82557471601234</v>
      </c>
      <c r="H28" s="179">
        <f t="shared" si="13"/>
        <v>5688696.7530130008</v>
      </c>
      <c r="I28" s="177">
        <f t="shared" si="17"/>
        <v>2.4109585829337776E-3</v>
      </c>
      <c r="J28" s="159">
        <f t="shared" si="14"/>
        <v>56.481745295668809</v>
      </c>
      <c r="K28" s="162">
        <f t="shared" si="18"/>
        <v>1355.5618870960514</v>
      </c>
      <c r="L28" s="177">
        <f t="shared" si="19"/>
        <v>3.3436749000621316E-3</v>
      </c>
      <c r="M28" s="159">
        <f t="shared" si="15"/>
        <v>78.332575015461217</v>
      </c>
      <c r="N28" s="162">
        <f t="shared" si="16"/>
        <v>24283.098254792978</v>
      </c>
      <c r="O28" s="184">
        <f t="shared" si="20"/>
        <v>5714335.4131548898</v>
      </c>
    </row>
    <row r="29" spans="1:15" ht="15" customHeight="1">
      <c r="C29" s="629" t="s">
        <v>863</v>
      </c>
      <c r="D29" s="653"/>
      <c r="E29" s="1067">
        <f>SUM(E21:E28)</f>
        <v>1121824.3936879274</v>
      </c>
      <c r="F29" s="1068"/>
      <c r="G29" s="281"/>
      <c r="H29" s="282">
        <f t="shared" ref="H29:O29" si="22">SUM(H21:H28)</f>
        <v>272407653.12771302</v>
      </c>
      <c r="I29" s="281"/>
      <c r="J29" s="281">
        <f t="shared" si="22"/>
        <v>2704.6721505063888</v>
      </c>
      <c r="K29" s="281">
        <f t="shared" si="22"/>
        <v>64912.131612153345</v>
      </c>
      <c r="L29" s="485"/>
      <c r="M29" s="281">
        <f t="shared" si="22"/>
        <v>3751.0160674517415</v>
      </c>
      <c r="N29" s="282">
        <f t="shared" si="22"/>
        <v>1162814.98091004</v>
      </c>
      <c r="O29" s="282">
        <f t="shared" si="22"/>
        <v>273635380.24023521</v>
      </c>
    </row>
    <row r="30" spans="1:15">
      <c r="A30" s="185" t="s">
        <v>784</v>
      </c>
    </row>
    <row r="31" spans="1:15" ht="18">
      <c r="B31" s="2"/>
      <c r="E31" s="150"/>
      <c r="F31" s="55"/>
      <c r="G31" s="1035" t="s">
        <v>774</v>
      </c>
      <c r="H31" s="1036"/>
      <c r="I31" s="1037" t="s">
        <v>775</v>
      </c>
      <c r="J31" s="1037"/>
      <c r="K31" s="1036"/>
      <c r="L31" s="1035" t="s">
        <v>776</v>
      </c>
      <c r="M31" s="1037"/>
      <c r="N31" s="1036"/>
    </row>
    <row r="32" spans="1:15" s="150" customFormat="1" ht="47.25" customHeight="1">
      <c r="A32" s="172" t="s">
        <v>58</v>
      </c>
      <c r="B32" s="167" t="s">
        <v>783</v>
      </c>
      <c r="C32" s="171" t="s">
        <v>54</v>
      </c>
      <c r="D32" s="169" t="s">
        <v>820</v>
      </c>
      <c r="E32" s="552" t="s">
        <v>696</v>
      </c>
      <c r="F32" s="480" t="s">
        <v>854</v>
      </c>
      <c r="G32" s="169" t="s">
        <v>850</v>
      </c>
      <c r="H32" s="171" t="s">
        <v>778</v>
      </c>
      <c r="I32" s="169" t="s">
        <v>851</v>
      </c>
      <c r="J32" s="168" t="s">
        <v>778</v>
      </c>
      <c r="K32" s="174" t="s">
        <v>780</v>
      </c>
      <c r="L32" s="170" t="s">
        <v>851</v>
      </c>
      <c r="M32" s="168" t="s">
        <v>778</v>
      </c>
      <c r="N32" s="174" t="s">
        <v>780</v>
      </c>
      <c r="O32" s="172" t="s">
        <v>779</v>
      </c>
    </row>
    <row r="33" spans="1:15">
      <c r="A33" s="251" t="s">
        <v>781</v>
      </c>
      <c r="B33" s="254" t="s">
        <v>855</v>
      </c>
      <c r="C33" s="255" t="s">
        <v>782</v>
      </c>
      <c r="D33" s="494">
        <f>SUM('VDOT VMT Totals'!H$23,'VDOT VMT Totals'!H22)*60.6/60.9</f>
        <v>160981348.52313307</v>
      </c>
      <c r="E33" s="546">
        <f>F33*'Transportation Fuel Information'!$R$31</f>
        <v>822376.90982929419</v>
      </c>
      <c r="F33" s="262">
        <f>D33/'Vehicle Fuel Efficiency'!W7</f>
        <v>6840884.3308180692</v>
      </c>
      <c r="G33" s="70">
        <v>8.7799999999999994</v>
      </c>
      <c r="H33" s="267">
        <f>G33*F33</f>
        <v>60062964.424582645</v>
      </c>
      <c r="I33" s="266">
        <f>0.028/1000</f>
        <v>2.8E-5</v>
      </c>
      <c r="J33" s="270">
        <f t="shared" ref="J33:J40" si="23">I33*D33</f>
        <v>4507.4777586477258</v>
      </c>
      <c r="K33" s="271">
        <f t="shared" ref="K33:K40" si="24">J33*24</f>
        <v>108179.46620754543</v>
      </c>
      <c r="L33" s="266">
        <f>0.029/1000</f>
        <v>2.9E-5</v>
      </c>
      <c r="M33" s="270">
        <f t="shared" ref="M33:M40" si="25">L33*D33</f>
        <v>4668.4591071708592</v>
      </c>
      <c r="N33" s="271">
        <f t="shared" ref="N33:N40" si="26">M33*310</f>
        <v>1447222.3232229664</v>
      </c>
      <c r="O33" s="273">
        <f>SUM(N33,K33,H33)</f>
        <v>61618366.214013159</v>
      </c>
    </row>
    <row r="34" spans="1:15">
      <c r="A34" s="252" t="s">
        <v>781</v>
      </c>
      <c r="B34" s="256" t="s">
        <v>862</v>
      </c>
      <c r="C34" s="257" t="s">
        <v>782</v>
      </c>
      <c r="D34" s="495">
        <f>SUM('VDOT VMT Totals'!H$23,'VDOT VMT Totals'!H22)*0.3/60.9</f>
        <v>796937.36892640113</v>
      </c>
      <c r="E34" s="547">
        <f>F34*'Transportation Fuel Information'!$R$32</f>
        <v>4501.2680239142746</v>
      </c>
      <c r="F34" s="263">
        <f>D34/'Vehicle Fuel Efficiency'!W7</f>
        <v>33865.764013950829</v>
      </c>
      <c r="G34" s="33">
        <v>10.210000000000001</v>
      </c>
      <c r="H34" s="268">
        <f t="shared" ref="H34:H40" si="27">G34*F34</f>
        <v>345769.45058243797</v>
      </c>
      <c r="I34" s="72">
        <f>0.001/1000</f>
        <v>9.9999999999999995E-7</v>
      </c>
      <c r="J34" s="248">
        <f t="shared" si="23"/>
        <v>0.7969373689264011</v>
      </c>
      <c r="K34" s="161">
        <f t="shared" si="24"/>
        <v>19.126496854233626</v>
      </c>
      <c r="L34" s="72">
        <f>0.001/1000</f>
        <v>9.9999999999999995E-7</v>
      </c>
      <c r="M34" s="248">
        <f t="shared" si="25"/>
        <v>0.7969373689264011</v>
      </c>
      <c r="N34" s="161">
        <f t="shared" si="26"/>
        <v>247.05058436718434</v>
      </c>
      <c r="O34" s="274">
        <f t="shared" ref="O34:O40" si="28">SUM(N34,K34,H34)</f>
        <v>346035.6276636594</v>
      </c>
    </row>
    <row r="35" spans="1:15">
      <c r="A35" s="252" t="s">
        <v>781</v>
      </c>
      <c r="B35" s="256" t="s">
        <v>856</v>
      </c>
      <c r="C35" s="257" t="s">
        <v>782</v>
      </c>
      <c r="D35" s="495">
        <f>'VDOT VMT Totals'!H$24*32.4/33.7</f>
        <v>21463655.833050955</v>
      </c>
      <c r="E35" s="547">
        <f>F35*'Transportation Fuel Information'!$R$31</f>
        <v>149210.06657197708</v>
      </c>
      <c r="F35" s="264">
        <f>$D35/'Vehicle Fuel Efficiency'!$W$8</f>
        <v>1241193.4165618024</v>
      </c>
      <c r="G35" s="33">
        <v>8.7799999999999994</v>
      </c>
      <c r="H35" s="268">
        <f t="shared" si="27"/>
        <v>10897678.197412625</v>
      </c>
      <c r="I35" s="72">
        <f>0.031/1000</f>
        <v>3.1000000000000001E-5</v>
      </c>
      <c r="J35" s="248">
        <f t="shared" si="23"/>
        <v>665.37333082457963</v>
      </c>
      <c r="K35" s="161">
        <f t="shared" si="24"/>
        <v>15968.959939789911</v>
      </c>
      <c r="L35" s="72">
        <f>0.043/1000</f>
        <v>4.2999999999999995E-5</v>
      </c>
      <c r="M35" s="248">
        <f t="shared" si="25"/>
        <v>922.93720082119091</v>
      </c>
      <c r="N35" s="161">
        <f t="shared" si="26"/>
        <v>286110.53225456917</v>
      </c>
      <c r="O35" s="274">
        <f t="shared" si="28"/>
        <v>11199757.689606983</v>
      </c>
    </row>
    <row r="36" spans="1:15">
      <c r="A36" s="252" t="s">
        <v>781</v>
      </c>
      <c r="B36" s="256" t="s">
        <v>857</v>
      </c>
      <c r="C36" s="257" t="s">
        <v>782</v>
      </c>
      <c r="D36" s="495">
        <f>'VDOT VMT Totals'!H$24*1.3/33.7</f>
        <v>861196.06737550127</v>
      </c>
      <c r="E36" s="547">
        <f>F36*'Transportation Fuel Information'!$R$32</f>
        <v>6619.2959830557274</v>
      </c>
      <c r="F36" s="264">
        <f>$D36/'Vehicle Fuel Efficiency'!$W$8</f>
        <v>49800.970417603181</v>
      </c>
      <c r="G36" s="33">
        <v>10.210000000000001</v>
      </c>
      <c r="H36" s="268">
        <f t="shared" si="27"/>
        <v>508467.90796372853</v>
      </c>
      <c r="I36" s="72">
        <f>0.001/1000</f>
        <v>9.9999999999999995E-7</v>
      </c>
      <c r="J36" s="248">
        <f t="shared" si="23"/>
        <v>0.86119606737550125</v>
      </c>
      <c r="K36" s="161">
        <f t="shared" si="24"/>
        <v>20.66870561701203</v>
      </c>
      <c r="L36" s="72">
        <f>0.001/1000</f>
        <v>9.9999999999999995E-7</v>
      </c>
      <c r="M36" s="248">
        <f t="shared" si="25"/>
        <v>0.86119606737550125</v>
      </c>
      <c r="N36" s="161">
        <f t="shared" si="26"/>
        <v>266.97078088640541</v>
      </c>
      <c r="O36" s="274">
        <f t="shared" si="28"/>
        <v>508755.54745023197</v>
      </c>
    </row>
    <row r="37" spans="1:15">
      <c r="A37" s="252" t="s">
        <v>853</v>
      </c>
      <c r="B37" s="256" t="s">
        <v>858</v>
      </c>
      <c r="C37" s="257" t="s">
        <v>782</v>
      </c>
      <c r="D37" s="495">
        <f>SUM('VDOT VMT Totals'!H$26:H$31)*0.292</f>
        <v>1381176.5674000143</v>
      </c>
      <c r="E37" s="547">
        <f>F37*'Transportation Fuel Information'!$R$31</f>
        <v>21178.334317601111</v>
      </c>
      <c r="F37" s="263">
        <f>D37/7.84</f>
        <v>176170.48053571611</v>
      </c>
      <c r="G37" s="33">
        <v>8.7799999999999994</v>
      </c>
      <c r="H37" s="268">
        <f t="shared" si="27"/>
        <v>1546776.8191035874</v>
      </c>
      <c r="I37" s="72">
        <f>0.033/1000</f>
        <v>3.3000000000000003E-5</v>
      </c>
      <c r="J37" s="248">
        <f t="shared" si="23"/>
        <v>45.578826724200475</v>
      </c>
      <c r="K37" s="161">
        <f t="shared" si="24"/>
        <v>1093.8918413808115</v>
      </c>
      <c r="L37" s="72">
        <f>0.0134/1000</f>
        <v>1.34E-5</v>
      </c>
      <c r="M37" s="248">
        <f t="shared" si="25"/>
        <v>18.507766003160192</v>
      </c>
      <c r="N37" s="161">
        <f t="shared" si="26"/>
        <v>5737.4074609796598</v>
      </c>
      <c r="O37" s="274">
        <f t="shared" si="28"/>
        <v>1553608.1184059479</v>
      </c>
    </row>
    <row r="38" spans="1:15">
      <c r="A38" s="252" t="s">
        <v>853</v>
      </c>
      <c r="B38" s="256" t="s">
        <v>859</v>
      </c>
      <c r="C38" s="257" t="s">
        <v>782</v>
      </c>
      <c r="D38" s="495">
        <f>SUM('VDOT VMT Totals'!H$26:H$31)*0.708</f>
        <v>3348880.1702712676</v>
      </c>
      <c r="E38" s="547">
        <f>F38*'Transportation Fuel Information'!$R$32</f>
        <v>61395.366597462838</v>
      </c>
      <c r="F38" s="263">
        <f>D38/7.25</f>
        <v>461914.5062443128</v>
      </c>
      <c r="G38" s="33">
        <v>10.210000000000001</v>
      </c>
      <c r="H38" s="268">
        <f t="shared" si="27"/>
        <v>4716147.1087544337</v>
      </c>
      <c r="I38" s="72">
        <f>0.0051/1000</f>
        <v>5.1000000000000003E-6</v>
      </c>
      <c r="J38" s="248">
        <f t="shared" si="23"/>
        <v>17.079288868383465</v>
      </c>
      <c r="K38" s="161">
        <f t="shared" si="24"/>
        <v>409.90293284120315</v>
      </c>
      <c r="L38" s="72">
        <f>0.0048/1000</f>
        <v>4.7999999999999998E-6</v>
      </c>
      <c r="M38" s="248">
        <f t="shared" si="25"/>
        <v>16.074624817302084</v>
      </c>
      <c r="N38" s="161">
        <f t="shared" si="26"/>
        <v>4983.1336933636458</v>
      </c>
      <c r="O38" s="274">
        <f t="shared" si="28"/>
        <v>4721540.1453806385</v>
      </c>
    </row>
    <row r="39" spans="1:15">
      <c r="A39" s="252" t="s">
        <v>853</v>
      </c>
      <c r="B39" s="256" t="s">
        <v>860</v>
      </c>
      <c r="C39" s="257" t="s">
        <v>782</v>
      </c>
      <c r="D39" s="495">
        <f>SUM('VDOT VMT Totals'!H$32:H$33,'VDOT VMT Totals'!H25)*0.025</f>
        <v>27826.820869344952</v>
      </c>
      <c r="E39" s="547">
        <f>F39*'Transportation Fuel Information'!$R$31</f>
        <v>414.01005826835438</v>
      </c>
      <c r="F39" s="263">
        <f>D39/8.08</f>
        <v>3443.9134739288306</v>
      </c>
      <c r="G39" s="33">
        <v>8.7799999999999994</v>
      </c>
      <c r="H39" s="268">
        <f t="shared" si="27"/>
        <v>30237.560301095131</v>
      </c>
      <c r="I39" s="72">
        <f>0.033/1000</f>
        <v>3.3000000000000003E-5</v>
      </c>
      <c r="J39" s="248">
        <f t="shared" si="23"/>
        <v>0.91828508868838354</v>
      </c>
      <c r="K39" s="161">
        <f t="shared" si="24"/>
        <v>22.038842128521203</v>
      </c>
      <c r="L39" s="72">
        <f>0.034/1000</f>
        <v>3.4E-5</v>
      </c>
      <c r="M39" s="248">
        <f t="shared" si="25"/>
        <v>0.94611190955772839</v>
      </c>
      <c r="N39" s="161">
        <f t="shared" si="26"/>
        <v>293.2946919628958</v>
      </c>
      <c r="O39" s="274">
        <f t="shared" si="28"/>
        <v>30552.893835186547</v>
      </c>
    </row>
    <row r="40" spans="1:15">
      <c r="A40" s="253" t="s">
        <v>853</v>
      </c>
      <c r="B40" s="258" t="s">
        <v>861</v>
      </c>
      <c r="C40" s="259" t="s">
        <v>782</v>
      </c>
      <c r="D40" s="496">
        <f>SUM('VDOT VMT Totals'!H$32:H$33,'VDOT VMT Totals'!H25)*0.975</f>
        <v>1085246.013904453</v>
      </c>
      <c r="E40" s="545">
        <f>F40*'Transportation Fuel Information'!$R$32</f>
        <v>28906.90860483174</v>
      </c>
      <c r="F40" s="265">
        <f>D40/4.99</f>
        <v>217484.17112313688</v>
      </c>
      <c r="G40" s="45">
        <v>10.210000000000001</v>
      </c>
      <c r="H40" s="269">
        <f t="shared" si="27"/>
        <v>2220513.3871672279</v>
      </c>
      <c r="I40" s="217">
        <f>0.0051/1000</f>
        <v>5.1000000000000003E-6</v>
      </c>
      <c r="J40" s="272">
        <f t="shared" si="23"/>
        <v>5.5347546709127107</v>
      </c>
      <c r="K40" s="162">
        <f t="shared" si="24"/>
        <v>132.83411210190505</v>
      </c>
      <c r="L40" s="217">
        <f>0.0048/1000</f>
        <v>4.7999999999999998E-6</v>
      </c>
      <c r="M40" s="272">
        <f t="shared" si="25"/>
        <v>5.2091808667413746</v>
      </c>
      <c r="N40" s="162">
        <f t="shared" si="26"/>
        <v>1614.8460686898261</v>
      </c>
      <c r="O40" s="275">
        <f t="shared" si="28"/>
        <v>2222261.0673480197</v>
      </c>
    </row>
    <row r="41" spans="1:15">
      <c r="C41" s="172" t="s">
        <v>863</v>
      </c>
      <c r="D41" s="479">
        <f>SUM(D33:D40)</f>
        <v>189946267.36493105</v>
      </c>
      <c r="E41" s="545">
        <f>SUM(E33:E40)</f>
        <v>1094602.1599864054</v>
      </c>
      <c r="F41" s="479"/>
      <c r="G41" s="281"/>
      <c r="H41" s="281">
        <f t="shared" ref="H41" si="29">SUM(H33:H40)</f>
        <v>80328554.855867788</v>
      </c>
      <c r="I41" s="485"/>
      <c r="J41" s="281">
        <f t="shared" ref="J41:K41" si="30">SUM(J33:J40)</f>
        <v>5243.6203782607927</v>
      </c>
      <c r="K41" s="282">
        <f t="shared" si="30"/>
        <v>125846.88907825902</v>
      </c>
      <c r="L41" s="281"/>
      <c r="M41" s="281">
        <f t="shared" ref="M41:O41" si="31">SUM(M33:M40)</f>
        <v>5633.7921250251129</v>
      </c>
      <c r="N41" s="281">
        <f t="shared" si="31"/>
        <v>1746475.5587577855</v>
      </c>
      <c r="O41" s="479">
        <f t="shared" si="31"/>
        <v>82200877.30370383</v>
      </c>
    </row>
    <row r="42" spans="1:15" s="697" customFormat="1">
      <c r="A42" s="185" t="s">
        <v>2061</v>
      </c>
      <c r="C42" s="627"/>
      <c r="D42" s="628"/>
      <c r="E42" s="628"/>
      <c r="F42" s="628"/>
      <c r="G42" s="628"/>
      <c r="H42" s="628"/>
      <c r="I42" s="628"/>
      <c r="J42" s="628"/>
      <c r="K42" s="628"/>
      <c r="L42" s="628"/>
      <c r="M42" s="628"/>
      <c r="N42" s="628"/>
      <c r="O42" s="628"/>
    </row>
    <row r="43" spans="1:15" s="697" customFormat="1" ht="18">
      <c r="B43" s="2"/>
      <c r="D43" s="150"/>
      <c r="E43" s="698"/>
      <c r="F43" s="698"/>
      <c r="G43" s="1038" t="s">
        <v>774</v>
      </c>
      <c r="H43" s="1039"/>
      <c r="I43" s="1038" t="s">
        <v>775</v>
      </c>
      <c r="J43" s="1040"/>
      <c r="K43" s="1039"/>
      <c r="L43" s="1038" t="s">
        <v>776</v>
      </c>
      <c r="M43" s="1040"/>
      <c r="N43" s="1039"/>
    </row>
    <row r="44" spans="1:15" s="697" customFormat="1" ht="30">
      <c r="A44" s="792" t="s">
        <v>58</v>
      </c>
      <c r="B44" s="793" t="s">
        <v>2065</v>
      </c>
      <c r="C44" s="794" t="s">
        <v>54</v>
      </c>
      <c r="D44" s="480" t="s">
        <v>2067</v>
      </c>
      <c r="E44" s="1049" t="s">
        <v>696</v>
      </c>
      <c r="F44" s="1050"/>
      <c r="G44" s="657" t="s">
        <v>777</v>
      </c>
      <c r="H44" s="656" t="s">
        <v>778</v>
      </c>
      <c r="I44" s="169" t="s">
        <v>777</v>
      </c>
      <c r="J44" s="168" t="s">
        <v>778</v>
      </c>
      <c r="K44" s="658" t="s">
        <v>780</v>
      </c>
      <c r="L44" s="657" t="s">
        <v>777</v>
      </c>
      <c r="M44" s="168" t="s">
        <v>778</v>
      </c>
      <c r="N44" s="658" t="s">
        <v>780</v>
      </c>
      <c r="O44" s="172" t="s">
        <v>779</v>
      </c>
    </row>
    <row r="45" spans="1:15" s="697" customFormat="1">
      <c r="A45" s="630" t="s">
        <v>2074</v>
      </c>
      <c r="B45" s="795" t="s">
        <v>2073</v>
      </c>
      <c r="C45" s="632" t="s">
        <v>2063</v>
      </c>
      <c r="D45" s="175">
        <f>'Wastewater Data'!K$7</f>
        <v>889709292</v>
      </c>
      <c r="E45" s="1029"/>
      <c r="F45" s="1030"/>
      <c r="G45" s="249"/>
      <c r="H45" s="178"/>
      <c r="I45" s="176"/>
      <c r="J45" s="155">
        <f>D45/36525*1.25*0.09*(1-0.325)*0.6*0.8*365.25</f>
        <v>324299.03693400003</v>
      </c>
      <c r="K45" s="161">
        <f>J45*24</f>
        <v>7783176.8864160012</v>
      </c>
      <c r="L45" s="176"/>
      <c r="M45" s="155"/>
      <c r="N45" s="161"/>
      <c r="O45" s="183">
        <f t="shared" ref="O45:O47" si="32">SUM(H45,K45,N45)</f>
        <v>7783176.8864160012</v>
      </c>
    </row>
    <row r="46" spans="1:15" s="697" customFormat="1">
      <c r="A46" s="165" t="s">
        <v>2069</v>
      </c>
      <c r="B46" s="153" t="s">
        <v>2070</v>
      </c>
      <c r="C46" s="156" t="s">
        <v>2063</v>
      </c>
      <c r="D46" s="175">
        <f>'Wastewater Data'!K$7</f>
        <v>889709292</v>
      </c>
      <c r="E46" s="1031"/>
      <c r="F46" s="1032"/>
      <c r="G46" s="249"/>
      <c r="H46" s="178"/>
      <c r="I46" s="176"/>
      <c r="J46" s="155"/>
      <c r="K46" s="161"/>
      <c r="L46" s="176"/>
      <c r="M46" s="155">
        <f>D46/36500*1.25*7/1000</f>
        <v>213.28647410958905</v>
      </c>
      <c r="N46" s="161">
        <f>M46*310</f>
        <v>66118.806973972605</v>
      </c>
      <c r="O46" s="183">
        <f t="shared" si="32"/>
        <v>66118.806973972605</v>
      </c>
    </row>
    <row r="47" spans="1:15" s="697" customFormat="1">
      <c r="A47" s="165" t="s">
        <v>2075</v>
      </c>
      <c r="B47" s="153" t="s">
        <v>2076</v>
      </c>
      <c r="C47" s="156" t="s">
        <v>2063</v>
      </c>
      <c r="D47" s="175">
        <f>'Wastewater Data'!K$7</f>
        <v>889709292</v>
      </c>
      <c r="E47" s="1031"/>
      <c r="F47" s="1032"/>
      <c r="G47" s="249"/>
      <c r="H47" s="178"/>
      <c r="I47" s="176"/>
      <c r="J47" s="155"/>
      <c r="K47" s="161"/>
      <c r="L47" s="176"/>
      <c r="M47" s="155">
        <f>D47/36525*1.25*0.026*0.005*0.005*44/28*(1-0.07)*365.25</f>
        <v>10.564503459203571</v>
      </c>
      <c r="N47" s="161">
        <f>M47*310</f>
        <v>3274.9960723531071</v>
      </c>
      <c r="O47" s="183">
        <f t="shared" si="32"/>
        <v>3274.9960723531071</v>
      </c>
    </row>
    <row r="48" spans="1:15" s="697" customFormat="1">
      <c r="A48" s="166" t="s">
        <v>2068</v>
      </c>
      <c r="B48" s="158" t="s">
        <v>2071</v>
      </c>
      <c r="C48" s="160" t="s">
        <v>2063</v>
      </c>
      <c r="D48" s="175">
        <f>'Wastewater Data'!K$7</f>
        <v>889709292</v>
      </c>
      <c r="E48" s="1033">
        <f>(D48*2000+D48*280)/1000000*3412.14/1000000</f>
        <v>6921.6528730191258</v>
      </c>
      <c r="F48" s="1034"/>
      <c r="G48" s="249">
        <f>'APCO Emission Factors'!I$4*0.454/3412.12*1000</f>
        <v>211.82373421802285</v>
      </c>
      <c r="H48" s="178">
        <f>G48*E48</f>
        <v>1466170.3585238175</v>
      </c>
      <c r="I48" s="176">
        <f>18.12*0.454/3412.12</f>
        <v>2.4109585829337776E-3</v>
      </c>
      <c r="J48" s="155">
        <f>I48*E48</f>
        <v>16.687818402293701</v>
      </c>
      <c r="K48" s="161">
        <f>J48*24</f>
        <v>400.50764165504881</v>
      </c>
      <c r="L48" s="176">
        <f>25.13*0.454/3412.12</f>
        <v>3.3436749000621316E-3</v>
      </c>
      <c r="M48" s="155">
        <f>L48*E48</f>
        <v>23.143756978456992</v>
      </c>
      <c r="N48" s="161">
        <f t="shared" ref="N48" si="33">M48*310</f>
        <v>7174.5646633216675</v>
      </c>
      <c r="O48" s="183">
        <f>SUM(H48,K48,N48)</f>
        <v>1473745.4308287944</v>
      </c>
    </row>
    <row r="49" spans="1:16" s="697" customFormat="1">
      <c r="C49" s="629" t="s">
        <v>863</v>
      </c>
      <c r="D49" s="479"/>
      <c r="E49" s="1033">
        <f>SUM(E48:E48)</f>
        <v>6921.6528730191258</v>
      </c>
      <c r="F49" s="1034"/>
      <c r="G49" s="653"/>
      <c r="H49" s="654">
        <f>SUM(H48:H48)</f>
        <v>1466170.3585238175</v>
      </c>
      <c r="I49" s="653"/>
      <c r="J49" s="281">
        <f>SUM(J48:J48)</f>
        <v>16.687818402293701</v>
      </c>
      <c r="K49" s="654">
        <f>SUM(K48:K48)</f>
        <v>400.50764165504881</v>
      </c>
      <c r="L49" s="653"/>
      <c r="M49" s="281">
        <f>SUM(M48:M48)</f>
        <v>23.143756978456992</v>
      </c>
      <c r="N49" s="654">
        <f>SUM(N48:N48)</f>
        <v>7174.5646633216675</v>
      </c>
      <c r="O49" s="654">
        <f>SUM(O45:O48)</f>
        <v>9326316.1202911213</v>
      </c>
    </row>
    <row r="50" spans="1:16" s="697" customFormat="1">
      <c r="A50" s="185" t="s">
        <v>2247</v>
      </c>
      <c r="C50" s="627"/>
      <c r="D50" s="628"/>
      <c r="E50" s="628"/>
      <c r="F50" s="628"/>
      <c r="G50" s="628"/>
      <c r="H50" s="628"/>
      <c r="I50" s="628"/>
      <c r="J50" s="628"/>
      <c r="K50" s="628"/>
      <c r="L50" s="628"/>
      <c r="M50" s="628"/>
      <c r="N50" s="628"/>
      <c r="O50" s="628"/>
    </row>
    <row r="51" spans="1:16" s="697" customFormat="1" ht="18">
      <c r="B51" s="2"/>
      <c r="D51" s="150"/>
      <c r="E51" s="698"/>
      <c r="F51" s="698"/>
      <c r="G51" s="1038" t="s">
        <v>774</v>
      </c>
      <c r="H51" s="1039"/>
      <c r="I51" s="1038" t="s">
        <v>775</v>
      </c>
      <c r="J51" s="1040"/>
      <c r="K51" s="1039"/>
      <c r="L51" s="1038" t="s">
        <v>776</v>
      </c>
      <c r="M51" s="1040"/>
      <c r="N51" s="1039"/>
    </row>
    <row r="52" spans="1:16" s="697" customFormat="1" ht="32.25" customHeight="1">
      <c r="A52" s="172" t="s">
        <v>58</v>
      </c>
      <c r="B52" s="655" t="s">
        <v>2065</v>
      </c>
      <c r="C52" s="168" t="s">
        <v>54</v>
      </c>
      <c r="D52" s="480" t="s">
        <v>2244</v>
      </c>
      <c r="E52" s="1027" t="s">
        <v>696</v>
      </c>
      <c r="F52" s="1028"/>
      <c r="G52" s="49" t="s">
        <v>777</v>
      </c>
      <c r="H52" s="873" t="s">
        <v>778</v>
      </c>
      <c r="I52" s="49" t="s">
        <v>777</v>
      </c>
      <c r="J52" s="873" t="s">
        <v>778</v>
      </c>
      <c r="K52" s="873" t="s">
        <v>780</v>
      </c>
      <c r="L52" s="49" t="s">
        <v>777</v>
      </c>
      <c r="M52" s="794" t="s">
        <v>778</v>
      </c>
      <c r="N52" s="873" t="s">
        <v>780</v>
      </c>
      <c r="O52" s="172" t="s">
        <v>779</v>
      </c>
    </row>
    <row r="53" spans="1:16" s="697" customFormat="1">
      <c r="A53" s="630" t="s">
        <v>2170</v>
      </c>
      <c r="B53" s="631" t="s">
        <v>2171</v>
      </c>
      <c r="C53" s="632" t="s">
        <v>2077</v>
      </c>
      <c r="D53" s="490">
        <f>'Solid Waste Calculations'!E$13</f>
        <v>16498.652917088897</v>
      </c>
      <c r="E53" s="1029"/>
      <c r="F53" s="1030"/>
      <c r="G53" s="497"/>
      <c r="H53" s="498">
        <f>G53*E53</f>
        <v>0</v>
      </c>
      <c r="I53" s="874"/>
      <c r="J53" s="875">
        <f>(1-0.75)*(1-0.1)*D53*0.06</f>
        <v>222.73181438070011</v>
      </c>
      <c r="K53" s="271">
        <f>J53*24</f>
        <v>5345.5635451368025</v>
      </c>
      <c r="L53" s="874"/>
      <c r="M53" s="875"/>
      <c r="N53" s="271"/>
      <c r="O53" s="183">
        <f>SUM(H53,K53,N53)</f>
        <v>5345.5635451368025</v>
      </c>
    </row>
    <row r="54" spans="1:16" s="697" customFormat="1">
      <c r="A54" s="165" t="s">
        <v>2074</v>
      </c>
      <c r="B54" s="152" t="s">
        <v>2245</v>
      </c>
      <c r="C54" s="156" t="s">
        <v>2077</v>
      </c>
      <c r="D54" s="490">
        <f>'Solid Waste Calculations'!E$13</f>
        <v>16498.652917088897</v>
      </c>
      <c r="E54" s="1031"/>
      <c r="F54" s="1032"/>
      <c r="G54" s="492"/>
      <c r="H54" s="178">
        <f>D54*0.0164*1000</f>
        <v>270577.90784025792</v>
      </c>
      <c r="I54" s="876"/>
      <c r="J54" s="155"/>
      <c r="K54" s="161"/>
      <c r="L54" s="876"/>
      <c r="M54" s="155"/>
      <c r="N54" s="161"/>
      <c r="O54" s="183">
        <f t="shared" ref="O54:O55" si="34">SUM(H54,K54,N54)</f>
        <v>270577.90784025792</v>
      </c>
    </row>
    <row r="55" spans="1:16" s="697" customFormat="1">
      <c r="A55" s="166" t="s">
        <v>2069</v>
      </c>
      <c r="B55" s="157" t="s">
        <v>2246</v>
      </c>
      <c r="C55" s="160" t="s">
        <v>2077</v>
      </c>
      <c r="D55" s="490">
        <f>'Solid Waste Calculations'!E$13</f>
        <v>16498.652917088897</v>
      </c>
      <c r="E55" s="1033"/>
      <c r="F55" s="1034"/>
      <c r="G55" s="493"/>
      <c r="H55" s="179">
        <f>D55*4*0.00014*1000</f>
        <v>9239.2456335697825</v>
      </c>
      <c r="I55" s="877"/>
      <c r="J55" s="159"/>
      <c r="K55" s="162"/>
      <c r="L55" s="877"/>
      <c r="M55" s="159"/>
      <c r="N55" s="162"/>
      <c r="O55" s="183">
        <f t="shared" si="34"/>
        <v>9239.2456335697825</v>
      </c>
    </row>
    <row r="56" spans="1:16" s="697" customFormat="1">
      <c r="C56" s="629" t="s">
        <v>863</v>
      </c>
      <c r="D56" s="479"/>
      <c r="E56" s="1025">
        <f>SUM(E53:E55)</f>
        <v>0</v>
      </c>
      <c r="F56" s="1026"/>
      <c r="G56" s="653"/>
      <c r="H56" s="654">
        <f>SUM(H53:H55)</f>
        <v>279817.1534738277</v>
      </c>
      <c r="I56" s="653"/>
      <c r="J56" s="281">
        <f>SUM(J53:J55)</f>
        <v>222.73181438070011</v>
      </c>
      <c r="K56" s="654">
        <f>SUM(K53:K55)</f>
        <v>5345.5635451368025</v>
      </c>
      <c r="L56" s="653"/>
      <c r="M56" s="281"/>
      <c r="N56" s="654"/>
      <c r="O56" s="654">
        <f>SUM(O53:O55)</f>
        <v>285162.71701896453</v>
      </c>
    </row>
    <row r="57" spans="1:16" ht="15.75" thickBot="1">
      <c r="F57"/>
    </row>
    <row r="58" spans="1:16" ht="15.75" thickBot="1">
      <c r="C58" s="276"/>
      <c r="E58" s="150"/>
      <c r="F58" s="247"/>
      <c r="G58" s="277" t="s">
        <v>864</v>
      </c>
      <c r="H58" s="278">
        <f>SUM(H41,H29,H17,H10)</f>
        <v>397067909.97794479</v>
      </c>
      <c r="I58" s="279"/>
      <c r="J58" s="278">
        <f>SUM(J41,J29,J17,J10)</f>
        <v>11855.094684417418</v>
      </c>
      <c r="K58" s="278">
        <f>SUM(K41,K29,K17,K10)</f>
        <v>284522.27242601803</v>
      </c>
      <c r="L58" s="279"/>
      <c r="M58" s="278">
        <f>SUM(M41,M29,M17,M10)</f>
        <v>9495.7831092461856</v>
      </c>
      <c r="N58" s="278">
        <f>SUM(N41,N29,N17,N10)</f>
        <v>2943692.7638663184</v>
      </c>
      <c r="O58" s="280">
        <f>SUM(O41,O29,O17,O10)</f>
        <v>400296125.01423717</v>
      </c>
    </row>
    <row r="59" spans="1:16">
      <c r="E59" s="150"/>
      <c r="F59" s="150"/>
      <c r="G59" s="55"/>
      <c r="P59" t="s">
        <v>865</v>
      </c>
    </row>
    <row r="60" spans="1:16" ht="30">
      <c r="A60" s="878" t="s">
        <v>868</v>
      </c>
      <c r="B60" s="1015" t="s">
        <v>970</v>
      </c>
      <c r="C60" s="985" t="s">
        <v>2530</v>
      </c>
    </row>
    <row r="61" spans="1:16">
      <c r="A61" s="56" t="s">
        <v>55</v>
      </c>
      <c r="B61" s="1016">
        <f>SUM(E6,E14:F16,E21,E25)</f>
        <v>888917.71402969281</v>
      </c>
      <c r="C61" s="273">
        <f>SUM(O6,O14,O15,O16,O21,O25)</f>
        <v>149931032.02489328</v>
      </c>
    </row>
    <row r="62" spans="1:16">
      <c r="A62" s="879" t="s">
        <v>56</v>
      </c>
      <c r="B62" s="1017">
        <f>SUM(E7,E22,E26)</f>
        <v>573197.86059438996</v>
      </c>
      <c r="C62" s="274">
        <f>SUM(O22,O26,O7)</f>
        <v>99840118.51864925</v>
      </c>
    </row>
    <row r="63" spans="1:16">
      <c r="A63" s="879" t="s">
        <v>57</v>
      </c>
      <c r="B63" s="1017">
        <f>SUM(E8,E23,E27)</f>
        <v>377693.05085242179</v>
      </c>
      <c r="C63" s="274">
        <f>SUM(O8,O23,O27)</f>
        <v>51344304.965782188</v>
      </c>
    </row>
    <row r="64" spans="1:16">
      <c r="A64" s="879" t="s">
        <v>2267</v>
      </c>
      <c r="B64" s="1017">
        <f>SUM(E9,E24,E28)</f>
        <v>105972.9735859072</v>
      </c>
      <c r="C64" s="274">
        <f>SUM(O9,O24,O28)</f>
        <v>16979792.201208528</v>
      </c>
    </row>
    <row r="65" spans="1:3">
      <c r="A65" s="879" t="s">
        <v>782</v>
      </c>
      <c r="B65" s="1017">
        <f>SUM(E33:E40)</f>
        <v>1094602.1599864054</v>
      </c>
      <c r="C65" s="274">
        <f>SUM(O33:O40)</f>
        <v>82200877.30370383</v>
      </c>
    </row>
    <row r="66" spans="1:3">
      <c r="A66" s="880" t="s">
        <v>2248</v>
      </c>
      <c r="B66" s="1018">
        <f>SUM(E48)</f>
        <v>6921.6528730191258</v>
      </c>
      <c r="C66" s="274">
        <f>O49</f>
        <v>9326316.1202911213</v>
      </c>
    </row>
    <row r="67" spans="1:3">
      <c r="A67" s="881" t="s">
        <v>2077</v>
      </c>
      <c r="B67" s="881"/>
      <c r="C67" s="275">
        <f>O56</f>
        <v>285162.71701896453</v>
      </c>
    </row>
    <row r="68" spans="1:3">
      <c r="A68" s="697"/>
      <c r="B68" s="697"/>
      <c r="C68" s="697"/>
    </row>
    <row r="69" spans="1:3" ht="30">
      <c r="A69" s="1021" t="s">
        <v>2101</v>
      </c>
      <c r="B69" s="942" t="s">
        <v>970</v>
      </c>
      <c r="C69" s="986" t="s">
        <v>2530</v>
      </c>
    </row>
    <row r="70" spans="1:3">
      <c r="A70" s="1019" t="s">
        <v>2</v>
      </c>
      <c r="B70" s="274">
        <f>SUM(E6:F9)</f>
        <v>790411.80537448451</v>
      </c>
      <c r="C70" s="1022">
        <f>SUM(O6:O9)</f>
        <v>41914927.616066188</v>
      </c>
    </row>
    <row r="71" spans="1:3">
      <c r="A71" s="1019" t="s">
        <v>2531</v>
      </c>
      <c r="B71" s="274">
        <f>SUM(E14:F16)</f>
        <v>33545.4</v>
      </c>
      <c r="C71" s="1022">
        <f>SUM(O14:O16)</f>
        <v>2544939.8542318833</v>
      </c>
    </row>
    <row r="72" spans="1:3">
      <c r="A72" s="1019" t="s">
        <v>588</v>
      </c>
      <c r="B72" s="274">
        <f>SUM(E21:F28,E48)</f>
        <v>1128746.0465609466</v>
      </c>
      <c r="C72" s="1022">
        <f>SUM(O21:O28,O48)</f>
        <v>275109125.67106402</v>
      </c>
    </row>
    <row r="73" spans="1:3">
      <c r="A73" s="1020" t="s">
        <v>2532</v>
      </c>
      <c r="B73" s="275">
        <f>SUM(E33:E40)</f>
        <v>1094602.1599864054</v>
      </c>
      <c r="C73" s="890">
        <f>SUM(O33:O40)</f>
        <v>82200877.30370383</v>
      </c>
    </row>
  </sheetData>
  <mergeCells count="54">
    <mergeCell ref="E55:F55"/>
    <mergeCell ref="E56:F56"/>
    <mergeCell ref="I51:K51"/>
    <mergeCell ref="L51:N51"/>
    <mergeCell ref="E52:F52"/>
    <mergeCell ref="E53:F53"/>
    <mergeCell ref="E54:F54"/>
    <mergeCell ref="E46:F46"/>
    <mergeCell ref="E47:F47"/>
    <mergeCell ref="E48:F48"/>
    <mergeCell ref="E49:F49"/>
    <mergeCell ref="G51:H51"/>
    <mergeCell ref="G43:H43"/>
    <mergeCell ref="I43:K43"/>
    <mergeCell ref="L43:N43"/>
    <mergeCell ref="E44:F44"/>
    <mergeCell ref="E45:F45"/>
    <mergeCell ref="E25:F25"/>
    <mergeCell ref="E26:F26"/>
    <mergeCell ref="E27:F27"/>
    <mergeCell ref="E28:F28"/>
    <mergeCell ref="E29:F29"/>
    <mergeCell ref="E20:F20"/>
    <mergeCell ref="E21:F21"/>
    <mergeCell ref="E22:F22"/>
    <mergeCell ref="E23:F23"/>
    <mergeCell ref="E24:F24"/>
    <mergeCell ref="E15:F15"/>
    <mergeCell ref="E16:F16"/>
    <mergeCell ref="E17:F17"/>
    <mergeCell ref="E18:F18"/>
    <mergeCell ref="E19:F19"/>
    <mergeCell ref="E10:F10"/>
    <mergeCell ref="E11:F11"/>
    <mergeCell ref="E12:F12"/>
    <mergeCell ref="E13:F13"/>
    <mergeCell ref="E14:F14"/>
    <mergeCell ref="E5:F5"/>
    <mergeCell ref="E6:F6"/>
    <mergeCell ref="E7:F7"/>
    <mergeCell ref="E8:F8"/>
    <mergeCell ref="E9:F9"/>
    <mergeCell ref="G4:H4"/>
    <mergeCell ref="I4:K4"/>
    <mergeCell ref="L4:N4"/>
    <mergeCell ref="G12:H12"/>
    <mergeCell ref="I12:K12"/>
    <mergeCell ref="L12:N12"/>
    <mergeCell ref="G19:H19"/>
    <mergeCell ref="I19:K19"/>
    <mergeCell ref="L19:N19"/>
    <mergeCell ref="G31:H31"/>
    <mergeCell ref="I31:K31"/>
    <mergeCell ref="L31:N31"/>
  </mergeCells>
  <hyperlinks>
    <hyperlink ref="E5" location="'Natural Gas Energy Content'!A1" tooltip="Natural Gas Energy Content" display="Energy Quantity (MMBtu)"/>
    <hyperlink ref="G5" location="'Default Emissions Factors'!A1" tooltip="Default Emissions Factors" display="CO2 Emission Coefficient"/>
    <hyperlink ref="D20" location="'2006 - 2009 APCO Billed kWh''s'!A1" tooltip="APCO Billed kWh's" display="Quantity (kWh)"/>
    <hyperlink ref="I5" location="'Default Emissions Factors'!A1" tooltip="Default Emissions Factors" display="Coefficient (kg/MMBtu)"/>
    <hyperlink ref="L5" location="'Default Emissions Factors'!A1" tooltip="Default Emissions Factors" display="CO2 Emission Coefficient"/>
    <hyperlink ref="G13" location="'Default Emissions Factors'!A1" tooltip="Default Emissions Factors" display="CO2 Emission Coefficient"/>
    <hyperlink ref="I13" location="'Default Emissions Factors'!A1" tooltip="Default Emissions Factors" display="CO2 Emission Coefficient"/>
    <hyperlink ref="G20" location="'APCO Emission Factors'!A1" tooltip="APCO Emission Factors" display="Coefficient (kg/MMBtu)"/>
    <hyperlink ref="I20" location="'Default Emissions Factors'!A1" tooltip="Default Emissions Factors" display="Coefficient (kg/MMBtu)"/>
    <hyperlink ref="L13" location="'Default Emissions Factors'!A1" tooltip="Default Emissions Factors" display="CO2 Emission Coefficient"/>
    <hyperlink ref="L20" location="'Default Emissions Factors'!A1" tooltip="Default Emissions Factors" display="CO2 Emission Coefficient"/>
    <hyperlink ref="K5" location="'Global Warming Potentials'!A1" tooltip="Global Warming Potentials" display="CO2 Equivalent (kg)"/>
    <hyperlink ref="K13" location="'Global Warming Potentials'!A1" tooltip="Global Warming Potentials" display="CO2 Equivalent (kg)"/>
    <hyperlink ref="K20" location="'Global Warming Potentials'!A1" tooltip="Global Warming Potentials" display="CO2 Equivalent (kg)"/>
    <hyperlink ref="N20" location="'Global Warming Potentials'!A1" tooltip="Global Warming Potentials" display="CO2 Equivalent (kg)"/>
    <hyperlink ref="N13" location="'Global Warming Potentials'!A1" tooltip="Global Warming Potentials" display="CO2 Equivalent (kg)"/>
    <hyperlink ref="N5" location="'Global Warming Potentials'!A1" tooltip="Global Warming Potentials" display="CO2 Equivalent (kg)"/>
    <hyperlink ref="D32" location="'VDOT VMT Totals'!A1" tooltip="VDOT VMT Totals" display="Quantity (VMT)"/>
    <hyperlink ref="G32" location="'Vehicle Emission Factors'!A1" tooltip="Vehicle Emission Factors" display="Coefficient (kg/gallon)"/>
    <hyperlink ref="I32" location="'Vehicle Emission Factors'!A1" tooltip="Vehicle Emission Factors" display="Coefficient (kg/VMT)"/>
    <hyperlink ref="L32" location="'Vehicle Emission Factors'!A1" tooltip="Vehicle Emission Factors" display="Coefficient (kg/MMBtu)"/>
    <hyperlink ref="K32" location="'Global Warming Potentials'!A1" tooltip="Global Warming Potentials" display="CO2 Equivalent (kg)"/>
    <hyperlink ref="N32" location="'Global Warming Potentials'!A1" tooltip="Global Warming Potentials" display="CO2 Equivalent (kg)"/>
    <hyperlink ref="F32" location="'Vehicle Fuel Efficiency'!A1" tooltip="Vehicle Fuel Efficiency" display="Energy Quantity (Gallons)"/>
    <hyperlink ref="E32" location="'Transportation Fuel Information'!A1" tooltip="Transportation Fuel Information" display="Energy Quantity (MMBtu)"/>
    <hyperlink ref="D5" location="'ATMOS NG Calculations'!A1" tooltip="ATMOS NG Calculations" display="Quantity (Mcf)"/>
    <hyperlink ref="E13" location="'BE.1.2 Calculations'!A1" tooltip="BE.1.2 Calculations" display="Energy Quantity (MMBtu)"/>
    <hyperlink ref="G44" location="'APCO Emission Factors'!A1" tooltip="APCO Emission Factors" display="Coefficient (kg/MMBtu)"/>
    <hyperlink ref="L44" location="'Default Emissions Factors'!A1" tooltip="Default Emissions Factors" display="CO2 Emission Coefficient"/>
    <hyperlink ref="D44" location="'Wastewater Data'!A1" tooltip="Wastewater Data" display="Quantity (Gal)"/>
    <hyperlink ref="N44" location="'Global Warming Potentials'!A1" tooltip="Global Warming Potentials" display="CO2 Equivalent (kg)"/>
    <hyperlink ref="K44" location="'Global Warming Potentials'!A1" tooltip="Global Warming Potentials" display="CO2 Equivalent (kg)"/>
    <hyperlink ref="I44" location="'Default Emissions Factors'!A1" tooltip="Default Emissions Factors" display="Coefficient (kg/MMBtu)"/>
    <hyperlink ref="D52" location="'Solid Waste Calculations'!A1" tooltip="Solid Waste Calculations" display="Quantity (Gal)"/>
    <hyperlink ref="N52" location="'Global Warming Potentials'!A1" tooltip="Global Warming Potentials" display="CO2 Equivalent (kg)"/>
    <hyperlink ref="K52" location="'Global Warming Potentials'!A1" tooltip="Global Warming Potentials" display="CO2 Equivalent (kg)"/>
    <hyperlink ref="H52" location="'Solid Waste Coefficients'!A1" tooltip="Solid Waste Coefficients" display="Quantity (kg)"/>
    <hyperlink ref="J52" location="'Solid Waste Coefficients'!A1" tooltip="Solid Waste Coefficients" display="Quantity (kg)"/>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61.xml><?xml version="1.0" encoding="utf-8"?>
<worksheet xmlns="http://schemas.openxmlformats.org/spreadsheetml/2006/main" xmlns:r="http://schemas.openxmlformats.org/officeDocument/2006/relationships">
  <dimension ref="A1:K21"/>
  <sheetViews>
    <sheetView workbookViewId="0">
      <selection activeCell="E16" sqref="E16"/>
    </sheetView>
  </sheetViews>
  <sheetFormatPr defaultRowHeight="15"/>
  <cols>
    <col min="1" max="1" width="51" style="701" bestFit="1" customWidth="1"/>
    <col min="2" max="2" width="16.42578125" style="701" customWidth="1"/>
    <col min="3" max="3" width="11.5703125" style="701" customWidth="1"/>
    <col min="4" max="4" width="12.28515625" style="701" customWidth="1"/>
    <col min="5" max="10" width="11.5703125" style="701" bestFit="1" customWidth="1"/>
    <col min="11" max="11" width="9" style="701" bestFit="1" customWidth="1"/>
    <col min="12" max="16384" width="9.140625" style="701"/>
  </cols>
  <sheetData>
    <row r="1" spans="1:11" ht="21">
      <c r="A1" s="961" t="s">
        <v>2169</v>
      </c>
      <c r="B1" s="961"/>
      <c r="C1" s="961"/>
      <c r="D1" s="961"/>
      <c r="E1" s="961"/>
      <c r="F1" s="961"/>
      <c r="G1" s="961"/>
      <c r="H1" s="961"/>
      <c r="I1" s="961"/>
      <c r="J1" s="961"/>
      <c r="K1" s="961"/>
    </row>
    <row r="2" spans="1:11" ht="30">
      <c r="A2" s="153" t="s">
        <v>2376</v>
      </c>
      <c r="B2" s="153" t="s">
        <v>2375</v>
      </c>
      <c r="C2" s="962"/>
      <c r="D2" s="962">
        <v>2006</v>
      </c>
      <c r="E2" s="963">
        <v>2012</v>
      </c>
      <c r="F2" s="963"/>
    </row>
    <row r="3" spans="1:11">
      <c r="A3" s="307" t="s">
        <v>2379</v>
      </c>
      <c r="B3" s="958"/>
      <c r="C3" s="958"/>
      <c r="D3" s="960">
        <v>131923.15175097276</v>
      </c>
      <c r="E3" s="959">
        <v>118428.3832684825</v>
      </c>
      <c r="F3" s="959"/>
    </row>
    <row r="4" spans="1:11">
      <c r="A4" s="307" t="s">
        <v>2268</v>
      </c>
      <c r="B4" s="958"/>
      <c r="C4" s="958"/>
      <c r="D4" s="960">
        <v>87563.056932288062</v>
      </c>
      <c r="E4" s="959">
        <v>78606</v>
      </c>
      <c r="F4" s="959"/>
    </row>
    <row r="5" spans="1:11" ht="18">
      <c r="A5" s="307" t="s">
        <v>2378</v>
      </c>
      <c r="B5" s="958"/>
      <c r="C5" s="958"/>
      <c r="D5" s="960">
        <v>44360.094818684694</v>
      </c>
      <c r="E5" s="959">
        <v>39822.383268482503</v>
      </c>
      <c r="F5" s="959"/>
    </row>
    <row r="6" spans="1:11">
      <c r="A6" s="962" t="s">
        <v>2086</v>
      </c>
      <c r="B6" s="962"/>
      <c r="C6" s="962"/>
      <c r="D6" s="960">
        <v>267388.13229571981</v>
      </c>
      <c r="E6" s="959">
        <v>256811.28404669263</v>
      </c>
      <c r="F6" s="959"/>
    </row>
    <row r="7" spans="1:11">
      <c r="A7" s="307" t="s">
        <v>2374</v>
      </c>
      <c r="B7" s="307"/>
      <c r="C7" s="307"/>
      <c r="D7" s="960">
        <v>368415.41989999998</v>
      </c>
      <c r="E7" s="959">
        <v>343067.84</v>
      </c>
      <c r="F7" s="959"/>
    </row>
    <row r="8" spans="1:11" ht="18">
      <c r="A8" s="307" t="s">
        <v>2380</v>
      </c>
      <c r="B8" s="307"/>
      <c r="C8" s="307"/>
      <c r="D8" s="960">
        <v>324055.3250813153</v>
      </c>
      <c r="E8" s="959">
        <v>303245.45673151751</v>
      </c>
      <c r="F8" s="959"/>
    </row>
    <row r="9" spans="1:11">
      <c r="A9" s="307" t="s">
        <v>2377</v>
      </c>
      <c r="B9" s="307"/>
      <c r="C9" s="307"/>
      <c r="D9" s="960">
        <v>211427.47899999999</v>
      </c>
      <c r="E9" s="959">
        <v>202785.37</v>
      </c>
      <c r="F9" s="959"/>
    </row>
    <row r="10" spans="1:11" ht="18">
      <c r="A10" s="307" t="s">
        <v>2381</v>
      </c>
      <c r="B10" s="958"/>
      <c r="C10" s="958"/>
      <c r="D10" s="960">
        <v>535482.80408131529</v>
      </c>
      <c r="E10" s="959">
        <v>506030.8267315175</v>
      </c>
      <c r="F10" s="959"/>
    </row>
    <row r="11" spans="1:11">
      <c r="A11" s="307" t="s">
        <v>2382</v>
      </c>
      <c r="B11" s="958"/>
      <c r="C11" s="958"/>
      <c r="D11" s="967">
        <v>0.60668959471680839</v>
      </c>
      <c r="E11" s="965">
        <v>0.59961995985819672</v>
      </c>
      <c r="F11" s="959"/>
    </row>
    <row r="12" spans="1:11">
      <c r="A12" s="153" t="s">
        <v>2373</v>
      </c>
      <c r="B12" s="964"/>
      <c r="C12" s="964"/>
      <c r="D12" s="960">
        <v>113444.36638591328</v>
      </c>
      <c r="E12" s="959">
        <v>100640.81401176262</v>
      </c>
      <c r="F12" s="959"/>
    </row>
    <row r="13" spans="1:11">
      <c r="A13" s="307" t="s">
        <v>2383</v>
      </c>
      <c r="B13" s="958"/>
      <c r="C13" s="958"/>
      <c r="D13" s="968">
        <v>324871.84538591327</v>
      </c>
      <c r="E13" s="959">
        <v>303426.18401176261</v>
      </c>
      <c r="F13" s="959"/>
    </row>
    <row r="14" spans="1:11" ht="18">
      <c r="A14" s="307" t="s">
        <v>2384</v>
      </c>
      <c r="B14" s="958"/>
      <c r="C14" s="958"/>
      <c r="D14" s="960">
        <v>210610.95869540202</v>
      </c>
      <c r="E14" s="959">
        <v>202604.64271975489</v>
      </c>
      <c r="F14" s="721"/>
    </row>
    <row r="15" spans="1:11">
      <c r="A15" s="698" t="s">
        <v>2385</v>
      </c>
      <c r="B15" s="970"/>
      <c r="C15" s="970"/>
      <c r="D15" s="966">
        <v>245816.03539999999</v>
      </c>
      <c r="E15" s="966">
        <v>33111.700000000004</v>
      </c>
    </row>
    <row r="16" spans="1:11">
      <c r="A16" s="698" t="s">
        <v>2386</v>
      </c>
      <c r="B16" s="970"/>
      <c r="C16" s="970"/>
      <c r="D16" s="966">
        <v>278460</v>
      </c>
      <c r="E16" s="966">
        <v>550984</v>
      </c>
    </row>
    <row r="17" spans="1:5" ht="18">
      <c r="A17" s="698" t="s">
        <v>2387</v>
      </c>
      <c r="B17" s="970"/>
      <c r="C17" s="970"/>
      <c r="D17" s="966">
        <f>D16-D4-D6</f>
        <v>-76491.189228007861</v>
      </c>
      <c r="E17" s="966"/>
    </row>
    <row r="18" spans="1:5">
      <c r="A18" s="698" t="s">
        <v>984</v>
      </c>
      <c r="B18" s="970"/>
      <c r="C18" s="970"/>
      <c r="D18" s="966">
        <v>524276.03539999999</v>
      </c>
      <c r="E18" s="966">
        <v>584095.69999999995</v>
      </c>
    </row>
    <row r="19" spans="1:5">
      <c r="A19" s="970" t="s">
        <v>2372</v>
      </c>
      <c r="B19" s="970"/>
      <c r="C19" s="970"/>
      <c r="D19" s="966">
        <v>169324.84617199213</v>
      </c>
      <c r="E19" s="966">
        <v>248678.4159533073</v>
      </c>
    </row>
    <row r="20" spans="1:5">
      <c r="A20" s="970" t="s">
        <v>983</v>
      </c>
      <c r="B20" s="970"/>
      <c r="C20" s="970"/>
      <c r="D20" s="966">
        <v>32717.5</v>
      </c>
      <c r="E20" s="966">
        <v>41138.400000000001</v>
      </c>
    </row>
    <row r="21" spans="1:5">
      <c r="A21" s="970" t="s">
        <v>50</v>
      </c>
      <c r="B21" s="970"/>
      <c r="C21" s="970"/>
      <c r="D21" s="969">
        <v>737525.15025330742</v>
      </c>
      <c r="E21" s="969">
        <v>795847.64268482476</v>
      </c>
    </row>
  </sheetData>
  <pageMargins left="0.7" right="0.7" top="0.75" bottom="0.75" header="0.3" footer="0.3"/>
  <pageSetup orientation="portrait" horizontalDpi="4294967293" verticalDpi="0" r:id="rId1"/>
</worksheet>
</file>

<file path=xl/worksheets/sheet7.xml><?xml version="1.0" encoding="utf-8"?>
<worksheet xmlns="http://schemas.openxmlformats.org/spreadsheetml/2006/main" xmlns:r="http://schemas.openxmlformats.org/officeDocument/2006/relationships">
  <dimension ref="A1:S73"/>
  <sheetViews>
    <sheetView topLeftCell="A25" workbookViewId="0">
      <selection activeCell="D44" sqref="D44"/>
    </sheetView>
  </sheetViews>
  <sheetFormatPr defaultRowHeight="15"/>
  <cols>
    <col min="1" max="1" width="22" customWidth="1"/>
    <col min="2" max="2" width="26.140625" bestFit="1" customWidth="1"/>
    <col min="3" max="3" width="18.140625" customWidth="1"/>
    <col min="4" max="4" width="14.7109375" style="150" bestFit="1" customWidth="1"/>
    <col min="5" max="5" width="11.85546875" style="55" customWidth="1"/>
    <col min="6" max="6" width="11.140625" style="698" customWidth="1"/>
    <col min="7" max="7" width="12" bestFit="1" customWidth="1"/>
    <col min="8" max="8" width="18" bestFit="1" customWidth="1"/>
    <col min="9" max="10" width="12.5703125" bestFit="1" customWidth="1"/>
    <col min="11" max="11" width="14.7109375" customWidth="1"/>
    <col min="12" max="12" width="11.85546875" bestFit="1" customWidth="1"/>
    <col min="13" max="13" width="13.28515625" customWidth="1"/>
    <col min="14" max="14" width="14.5703125" bestFit="1" customWidth="1"/>
    <col min="15" max="15" width="19.7109375" bestFit="1" customWidth="1"/>
    <col min="16" max="16" width="4.5703125" customWidth="1"/>
    <col min="17" max="17" width="13.85546875" customWidth="1"/>
  </cols>
  <sheetData>
    <row r="1" spans="1:19">
      <c r="A1" s="1" t="s">
        <v>872</v>
      </c>
      <c r="B1" s="1"/>
      <c r="C1" s="150"/>
      <c r="D1" s="55"/>
      <c r="E1"/>
      <c r="F1" s="697"/>
      <c r="S1" t="s">
        <v>2</v>
      </c>
    </row>
    <row r="2" spans="1:19">
      <c r="C2" s="150"/>
      <c r="D2" s="55"/>
      <c r="E2"/>
      <c r="F2" s="697"/>
      <c r="S2" t="s">
        <v>866</v>
      </c>
    </row>
    <row r="3" spans="1:19">
      <c r="A3" s="2" t="s">
        <v>693</v>
      </c>
      <c r="B3" s="2"/>
      <c r="C3" s="150"/>
      <c r="D3" s="55"/>
      <c r="E3"/>
      <c r="F3" s="697"/>
      <c r="S3" t="s">
        <v>588</v>
      </c>
    </row>
    <row r="4" spans="1:19" ht="17.25" customHeight="1">
      <c r="B4" s="2"/>
      <c r="C4" s="2"/>
      <c r="G4" s="1035" t="s">
        <v>774</v>
      </c>
      <c r="H4" s="1037"/>
      <c r="I4" s="1035" t="s">
        <v>775</v>
      </c>
      <c r="J4" s="1037"/>
      <c r="K4" s="1036"/>
      <c r="L4" s="1035" t="s">
        <v>776</v>
      </c>
      <c r="M4" s="1037"/>
      <c r="N4" s="1036"/>
      <c r="S4" t="s">
        <v>867</v>
      </c>
    </row>
    <row r="5" spans="1:19" s="151" customFormat="1" ht="33" customHeight="1">
      <c r="A5" s="172" t="s">
        <v>58</v>
      </c>
      <c r="B5" s="167" t="s">
        <v>1</v>
      </c>
      <c r="C5" s="168" t="s">
        <v>54</v>
      </c>
      <c r="D5" s="657" t="s">
        <v>695</v>
      </c>
      <c r="E5" s="1054" t="s">
        <v>696</v>
      </c>
      <c r="F5" s="1055"/>
      <c r="G5" s="169" t="s">
        <v>777</v>
      </c>
      <c r="H5" s="168" t="s">
        <v>778</v>
      </c>
      <c r="I5" s="170" t="s">
        <v>777</v>
      </c>
      <c r="J5" s="168" t="s">
        <v>778</v>
      </c>
      <c r="K5" s="174" t="s">
        <v>780</v>
      </c>
      <c r="L5" s="170" t="s">
        <v>777</v>
      </c>
      <c r="M5" s="168" t="s">
        <v>778</v>
      </c>
      <c r="N5" s="174" t="s">
        <v>780</v>
      </c>
      <c r="O5" s="172" t="s">
        <v>779</v>
      </c>
    </row>
    <row r="6" spans="1:19" s="150" customFormat="1" ht="15" customHeight="1">
      <c r="A6" s="165" t="s">
        <v>59</v>
      </c>
      <c r="B6" s="152" t="s">
        <v>773</v>
      </c>
      <c r="C6" s="153" t="s">
        <v>55</v>
      </c>
      <c r="D6" s="495">
        <f>'ATMOS NG Calculations'!E13</f>
        <v>315256.15371047426</v>
      </c>
      <c r="E6" s="1070">
        <f>1.027*D6</f>
        <v>323768.06986065704</v>
      </c>
      <c r="F6" s="1071"/>
      <c r="G6" s="153">
        <v>52.91</v>
      </c>
      <c r="H6" s="155">
        <f>G6*E6</f>
        <v>17130568.576327361</v>
      </c>
      <c r="I6" s="152">
        <v>5.0000000000000001E-3</v>
      </c>
      <c r="J6" s="164">
        <f>I6*$E6</f>
        <v>1618.8403493032852</v>
      </c>
      <c r="K6" s="161">
        <f>J6*24</f>
        <v>38852.16838327884</v>
      </c>
      <c r="L6" s="152">
        <v>1E-4</v>
      </c>
      <c r="M6" s="164">
        <f>L6*$E6</f>
        <v>32.376806986065702</v>
      </c>
      <c r="N6" s="161">
        <f>M6*310</f>
        <v>10036.810165680368</v>
      </c>
      <c r="O6" s="183">
        <f>SUM(H6,K6,N6)</f>
        <v>17179457.55487632</v>
      </c>
    </row>
    <row r="7" spans="1:19" s="150" customFormat="1" ht="15" customHeight="1">
      <c r="A7" s="165" t="s">
        <v>59</v>
      </c>
      <c r="B7" s="152" t="s">
        <v>773</v>
      </c>
      <c r="C7" s="153" t="s">
        <v>56</v>
      </c>
      <c r="D7" s="495">
        <f>'ATMOS NG Calculations'!E14</f>
        <v>203147.56646051066</v>
      </c>
      <c r="E7" s="1072">
        <f t="shared" ref="E7:E9" si="0">1.027*D7</f>
        <v>208632.55075494442</v>
      </c>
      <c r="F7" s="1073"/>
      <c r="G7" s="153">
        <v>52.91</v>
      </c>
      <c r="H7" s="155">
        <f>G7*E7</f>
        <v>11038748.260444108</v>
      </c>
      <c r="I7" s="152">
        <v>5.0000000000000001E-3</v>
      </c>
      <c r="J7" s="164">
        <f t="shared" ref="J7:J9" si="1">I7*$E7</f>
        <v>1043.1627537747222</v>
      </c>
      <c r="K7" s="161">
        <f t="shared" ref="K7:K9" si="2">J7*24</f>
        <v>25035.906090593333</v>
      </c>
      <c r="L7" s="152">
        <v>1E-4</v>
      </c>
      <c r="M7" s="164">
        <f t="shared" ref="M7:M9" si="3">L7*$E7</f>
        <v>20.863255075494443</v>
      </c>
      <c r="N7" s="161">
        <f t="shared" ref="N7:N9" si="4">M7*310</f>
        <v>6467.6090734032778</v>
      </c>
      <c r="O7" s="183">
        <f t="shared" ref="O7:O9" si="5">SUM(H7,K7,N7)</f>
        <v>11070251.775608104</v>
      </c>
    </row>
    <row r="8" spans="1:19" s="150" customFormat="1" ht="15" customHeight="1">
      <c r="A8" s="165" t="s">
        <v>59</v>
      </c>
      <c r="B8" s="152" t="s">
        <v>773</v>
      </c>
      <c r="C8" s="153" t="s">
        <v>57</v>
      </c>
      <c r="D8" s="495">
        <f>'ATMOS NG Calculations'!E18</f>
        <v>253203.7506854735</v>
      </c>
      <c r="E8" s="1072">
        <f t="shared" si="0"/>
        <v>260040.25195398126</v>
      </c>
      <c r="F8" s="1073"/>
      <c r="G8" s="153">
        <v>52.91</v>
      </c>
      <c r="H8" s="155">
        <f>G8*E8</f>
        <v>13758729.730885148</v>
      </c>
      <c r="I8" s="152">
        <v>1E-4</v>
      </c>
      <c r="J8" s="164">
        <f t="shared" si="1"/>
        <v>26.004025195398128</v>
      </c>
      <c r="K8" s="161">
        <f t="shared" si="2"/>
        <v>624.09660468955508</v>
      </c>
      <c r="L8" s="152">
        <v>1E-4</v>
      </c>
      <c r="M8" s="164">
        <f t="shared" si="3"/>
        <v>26.004025195398128</v>
      </c>
      <c r="N8" s="161">
        <f t="shared" si="4"/>
        <v>8061.2478105734199</v>
      </c>
      <c r="O8" s="183">
        <f t="shared" si="5"/>
        <v>13767415.075300412</v>
      </c>
    </row>
    <row r="9" spans="1:19" s="150" customFormat="1" ht="15" customHeight="1">
      <c r="A9" s="166" t="s">
        <v>59</v>
      </c>
      <c r="B9" s="157" t="s">
        <v>773</v>
      </c>
      <c r="C9" s="153" t="s">
        <v>2267</v>
      </c>
      <c r="D9" s="496">
        <f>'ATMOS NG Calculations'!E19</f>
        <v>49652.910100000001</v>
      </c>
      <c r="E9" s="1074">
        <f t="shared" si="0"/>
        <v>50993.538672699993</v>
      </c>
      <c r="F9" s="1075"/>
      <c r="G9" s="158">
        <v>52.91</v>
      </c>
      <c r="H9" s="159">
        <f>G9*E9</f>
        <v>2698068.1311725564</v>
      </c>
      <c r="I9" s="157">
        <v>5.0000000000000001E-3</v>
      </c>
      <c r="J9" s="173">
        <f t="shared" si="1"/>
        <v>254.96769336349996</v>
      </c>
      <c r="K9" s="162">
        <f t="shared" si="2"/>
        <v>6119.2246407239991</v>
      </c>
      <c r="L9" s="157">
        <v>1E-4</v>
      </c>
      <c r="M9" s="173">
        <f t="shared" si="3"/>
        <v>5.0993538672699996</v>
      </c>
      <c r="N9" s="162">
        <f t="shared" si="4"/>
        <v>1580.7996988537</v>
      </c>
      <c r="O9" s="184">
        <f t="shared" si="5"/>
        <v>2705768.1555121341</v>
      </c>
    </row>
    <row r="10" spans="1:19" s="150" customFormat="1" ht="15" customHeight="1">
      <c r="A10" s="153"/>
      <c r="B10" s="153"/>
      <c r="C10" s="167" t="s">
        <v>863</v>
      </c>
      <c r="D10" s="653">
        <f>SUM(D6:D9)</f>
        <v>821260.38095645839</v>
      </c>
      <c r="E10" s="1074">
        <f>SUM(E6:E9)</f>
        <v>843434.4112422826</v>
      </c>
      <c r="F10" s="1075"/>
      <c r="G10" s="283"/>
      <c r="H10" s="281">
        <f t="shared" ref="H10:O10" si="6">SUM(H6:H9)</f>
        <v>44626114.698829174</v>
      </c>
      <c r="I10" s="482"/>
      <c r="J10" s="281">
        <f t="shared" si="6"/>
        <v>2942.9748216369057</v>
      </c>
      <c r="K10" s="282">
        <f t="shared" si="6"/>
        <v>70631.39571928572</v>
      </c>
      <c r="L10" s="281"/>
      <c r="M10" s="281">
        <f t="shared" si="6"/>
        <v>84.343441124228264</v>
      </c>
      <c r="N10" s="281">
        <f t="shared" si="6"/>
        <v>26146.466748510768</v>
      </c>
      <c r="O10" s="479">
        <f t="shared" si="6"/>
        <v>44722892.56129697</v>
      </c>
    </row>
    <row r="11" spans="1:19" s="153" customFormat="1" ht="15" customHeight="1">
      <c r="D11" s="154"/>
      <c r="E11" s="1076"/>
      <c r="F11" s="1076"/>
      <c r="H11" s="155"/>
    </row>
    <row r="12" spans="1:19" s="150" customFormat="1" ht="18" customHeight="1">
      <c r="E12" s="1076"/>
      <c r="F12" s="1076"/>
      <c r="G12" s="1038" t="s">
        <v>774</v>
      </c>
      <c r="H12" s="1039"/>
      <c r="I12" s="1037" t="s">
        <v>775</v>
      </c>
      <c r="J12" s="1037"/>
      <c r="K12" s="1036"/>
      <c r="L12" s="1035" t="s">
        <v>776</v>
      </c>
      <c r="M12" s="1037"/>
      <c r="N12" s="1036"/>
    </row>
    <row r="13" spans="1:19" s="151" customFormat="1" ht="34.5" customHeight="1">
      <c r="A13" s="172" t="s">
        <v>58</v>
      </c>
      <c r="B13" s="167" t="s">
        <v>1</v>
      </c>
      <c r="C13" s="168" t="s">
        <v>54</v>
      </c>
      <c r="D13" s="655"/>
      <c r="E13" s="1054" t="s">
        <v>696</v>
      </c>
      <c r="F13" s="1055"/>
      <c r="G13" s="169" t="s">
        <v>777</v>
      </c>
      <c r="H13" s="171" t="s">
        <v>778</v>
      </c>
      <c r="I13" s="169" t="s">
        <v>777</v>
      </c>
      <c r="J13" s="168" t="s">
        <v>778</v>
      </c>
      <c r="K13" s="174" t="s">
        <v>780</v>
      </c>
      <c r="L13" s="170" t="s">
        <v>777</v>
      </c>
      <c r="M13" s="168" t="s">
        <v>778</v>
      </c>
      <c r="N13" s="174" t="s">
        <v>780</v>
      </c>
      <c r="O13" s="172" t="s">
        <v>779</v>
      </c>
    </row>
    <row r="14" spans="1:19" s="150" customFormat="1" ht="15" customHeight="1">
      <c r="A14" s="165" t="s">
        <v>60</v>
      </c>
      <c r="B14" s="152" t="s">
        <v>686</v>
      </c>
      <c r="C14" s="153" t="s">
        <v>55</v>
      </c>
      <c r="D14" s="152"/>
      <c r="E14" s="1070">
        <f>'BE.1.2 Calculations'!H17*'BE.1.2 Calculations'!B17</f>
        <v>1037.4000000000001</v>
      </c>
      <c r="F14" s="1071"/>
      <c r="G14" s="180">
        <v>62.98</v>
      </c>
      <c r="H14" s="161">
        <f>G14*E14</f>
        <v>65335.452000000005</v>
      </c>
      <c r="I14" s="181">
        <f>0.001/0.092</f>
        <v>1.0869565217391304E-2</v>
      </c>
      <c r="J14" s="164">
        <f>I14*$E14</f>
        <v>11.276086956521739</v>
      </c>
      <c r="K14" s="161">
        <f>J14*24</f>
        <v>270.62608695652176</v>
      </c>
      <c r="L14" s="181">
        <f>0.0001/0.092</f>
        <v>1.0869565217391304E-3</v>
      </c>
      <c r="M14" s="164">
        <f>L14*$E14</f>
        <v>1.127608695652174</v>
      </c>
      <c r="N14" s="161">
        <f t="shared" ref="N14:N16" si="7">M14*310</f>
        <v>349.55869565217392</v>
      </c>
      <c r="O14" s="183">
        <f>SUM(H14,K14,N14)</f>
        <v>65955.636782608693</v>
      </c>
    </row>
    <row r="15" spans="1:19" s="150" customFormat="1" ht="15" customHeight="1">
      <c r="A15" s="165" t="s">
        <v>60</v>
      </c>
      <c r="B15" s="152" t="s">
        <v>685</v>
      </c>
      <c r="C15" s="153" t="s">
        <v>55</v>
      </c>
      <c r="D15" s="152"/>
      <c r="E15" s="1072">
        <f>'BE.1.2 Calculations'!H18*'BE.1.2 Calculations'!B18</f>
        <v>30422</v>
      </c>
      <c r="F15" s="1073"/>
      <c r="G15" s="180">
        <v>73.959999999999994</v>
      </c>
      <c r="H15" s="161">
        <f>G15*E15</f>
        <v>2250011.1199999996</v>
      </c>
      <c r="I15" s="181">
        <f>0.0015/0.138</f>
        <v>1.0869565217391304E-2</v>
      </c>
      <c r="J15" s="164">
        <f t="shared" ref="J15:J16" si="8">I15*$E15</f>
        <v>330.67391304347825</v>
      </c>
      <c r="K15" s="161">
        <f t="shared" ref="K15:K16" si="9">J15*24</f>
        <v>7936.173913043478</v>
      </c>
      <c r="L15" s="181">
        <f>0.0001/0.138</f>
        <v>7.246376811594203E-4</v>
      </c>
      <c r="M15" s="164">
        <f t="shared" ref="M15:M16" si="10">L15*$E15</f>
        <v>22.044927536231885</v>
      </c>
      <c r="N15" s="161">
        <f t="shared" si="7"/>
        <v>6833.927536231884</v>
      </c>
      <c r="O15" s="183">
        <f t="shared" ref="O15:O16" si="11">SUM(H15,K15,N15)</f>
        <v>2264781.221449275</v>
      </c>
    </row>
    <row r="16" spans="1:19" s="150" customFormat="1" ht="15" customHeight="1">
      <c r="A16" s="166" t="s">
        <v>60</v>
      </c>
      <c r="B16" s="157" t="s">
        <v>590</v>
      </c>
      <c r="C16" s="158" t="s">
        <v>55</v>
      </c>
      <c r="D16" s="157"/>
      <c r="E16" s="1074">
        <f>'BE.1.2 Calculations'!H19*'BE.1.2 Calculations'!B19</f>
        <v>2086</v>
      </c>
      <c r="F16" s="1075"/>
      <c r="G16" s="250">
        <v>93.8</v>
      </c>
      <c r="H16" s="162">
        <f>G16*E16</f>
        <v>195666.8</v>
      </c>
      <c r="I16" s="182">
        <v>0.316</v>
      </c>
      <c r="J16" s="173">
        <f t="shared" si="8"/>
        <v>659.17600000000004</v>
      </c>
      <c r="K16" s="162">
        <f t="shared" si="9"/>
        <v>15820.224000000002</v>
      </c>
      <c r="L16" s="182">
        <v>4.1999999999999997E-3</v>
      </c>
      <c r="M16" s="173">
        <f t="shared" si="10"/>
        <v>8.7611999999999988</v>
      </c>
      <c r="N16" s="162">
        <f t="shared" si="7"/>
        <v>2715.9719999999998</v>
      </c>
      <c r="O16" s="184">
        <f t="shared" si="11"/>
        <v>214202.99599999998</v>
      </c>
    </row>
    <row r="17" spans="1:15" s="150" customFormat="1" ht="15" customHeight="1">
      <c r="B17" s="153"/>
      <c r="C17" s="172" t="s">
        <v>863</v>
      </c>
      <c r="D17" s="281"/>
      <c r="E17" s="1074">
        <f>SUM(E14:E16)</f>
        <v>33545.4</v>
      </c>
      <c r="F17" s="1075"/>
      <c r="G17" s="281"/>
      <c r="H17" s="281">
        <f t="shared" ref="H17:O17" si="12">SUM(H14:H16)</f>
        <v>2511013.3719999995</v>
      </c>
      <c r="I17" s="485"/>
      <c r="J17" s="281">
        <f t="shared" si="12"/>
        <v>1001.126</v>
      </c>
      <c r="K17" s="282">
        <f t="shared" si="12"/>
        <v>24027.024000000001</v>
      </c>
      <c r="L17" s="281"/>
      <c r="M17" s="281">
        <f t="shared" si="12"/>
        <v>31.933736231884058</v>
      </c>
      <c r="N17" s="281">
        <f t="shared" si="12"/>
        <v>9899.4582318840585</v>
      </c>
      <c r="O17" s="479">
        <f t="shared" si="12"/>
        <v>2544939.8542318833</v>
      </c>
    </row>
    <row r="18" spans="1:15" ht="15" customHeight="1">
      <c r="A18" s="2" t="s">
        <v>694</v>
      </c>
      <c r="C18" s="150"/>
      <c r="D18" s="55"/>
      <c r="E18" s="1077"/>
      <c r="F18" s="1077"/>
    </row>
    <row r="19" spans="1:15" ht="18" customHeight="1">
      <c r="B19" s="2"/>
      <c r="E19" s="1077"/>
      <c r="F19" s="1077"/>
      <c r="G19" s="1038" t="s">
        <v>774</v>
      </c>
      <c r="H19" s="1039"/>
      <c r="I19" s="1037" t="s">
        <v>775</v>
      </c>
      <c r="J19" s="1037"/>
      <c r="K19" s="1036"/>
      <c r="L19" s="1035" t="s">
        <v>776</v>
      </c>
      <c r="M19" s="1037"/>
      <c r="N19" s="1036"/>
    </row>
    <row r="20" spans="1:15" s="150" customFormat="1" ht="30">
      <c r="A20" s="172" t="s">
        <v>58</v>
      </c>
      <c r="B20" s="796" t="s">
        <v>697</v>
      </c>
      <c r="C20" s="797" t="s">
        <v>54</v>
      </c>
      <c r="D20" s="169" t="s">
        <v>700</v>
      </c>
      <c r="E20" s="1070" t="s">
        <v>696</v>
      </c>
      <c r="F20" s="1071"/>
      <c r="G20" s="169" t="s">
        <v>777</v>
      </c>
      <c r="H20" s="171" t="s">
        <v>778</v>
      </c>
      <c r="I20" s="169" t="s">
        <v>777</v>
      </c>
      <c r="J20" s="168" t="s">
        <v>778</v>
      </c>
      <c r="K20" s="174" t="s">
        <v>780</v>
      </c>
      <c r="L20" s="170" t="s">
        <v>777</v>
      </c>
      <c r="M20" s="168" t="s">
        <v>778</v>
      </c>
      <c r="N20" s="174" t="s">
        <v>780</v>
      </c>
      <c r="O20" s="172" t="s">
        <v>779</v>
      </c>
    </row>
    <row r="21" spans="1:15" s="150" customFormat="1" ht="15" customHeight="1">
      <c r="A21" s="152" t="s">
        <v>699</v>
      </c>
      <c r="B21" s="913" t="s">
        <v>698</v>
      </c>
      <c r="C21" s="914" t="s">
        <v>55</v>
      </c>
      <c r="D21" s="175">
        <f>'2006 - 2009 APCO Billed kWh''s'!T20</f>
        <v>102976373</v>
      </c>
      <c r="E21" s="1070">
        <f>D21*3412.12/1000000</f>
        <v>351367.74184075999</v>
      </c>
      <c r="F21" s="1071"/>
      <c r="G21" s="249">
        <f>'APCO Emission Factors'!E$4*0.454/3412.12*1000</f>
        <v>230.58450464813666</v>
      </c>
      <c r="H21" s="178">
        <f t="shared" ref="H21:H28" si="13">G21*E21</f>
        <v>81019956.70168601</v>
      </c>
      <c r="I21" s="176">
        <f>18.12*0.454/3412.12</f>
        <v>2.4109585829337776E-3</v>
      </c>
      <c r="J21" s="155">
        <f t="shared" ref="J21:J28" si="14">I21*E21</f>
        <v>847.1330729570401</v>
      </c>
      <c r="K21" s="161">
        <f>J21*24</f>
        <v>20331.193750968963</v>
      </c>
      <c r="L21" s="176">
        <f>25.13*0.454/3412.12</f>
        <v>3.3436749000621316E-3</v>
      </c>
      <c r="M21" s="155">
        <f t="shared" ref="M21:M28" si="15">L21*E21</f>
        <v>1174.8594990844601</v>
      </c>
      <c r="N21" s="161">
        <f t="shared" ref="N21:N28" si="16">M21*310</f>
        <v>364206.44471618265</v>
      </c>
      <c r="O21" s="183">
        <f>SUM(H21,K21,N21)</f>
        <v>81404494.340153158</v>
      </c>
    </row>
    <row r="22" spans="1:15" s="150" customFormat="1" ht="15" customHeight="1">
      <c r="A22" s="152" t="s">
        <v>699</v>
      </c>
      <c r="B22" s="915" t="s">
        <v>698</v>
      </c>
      <c r="C22" s="916" t="s">
        <v>56</v>
      </c>
      <c r="D22" s="175">
        <f>'2006 - 2009 APCO Billed kWh''s'!T21</f>
        <v>46584741</v>
      </c>
      <c r="E22" s="1072">
        <f>D22*3412.12/1000000</f>
        <v>158952.72646091998</v>
      </c>
      <c r="F22" s="1073"/>
      <c r="G22" s="249">
        <f>'APCO Emission Factors'!E$4*0.454/3412.12*1000</f>
        <v>230.58450464813666</v>
      </c>
      <c r="H22" s="178">
        <f t="shared" si="13"/>
        <v>36652035.693461999</v>
      </c>
      <c r="I22" s="176">
        <f t="shared" ref="I22:I28" si="17">18.12*0.454/3412.12</f>
        <v>2.4109585829337776E-3</v>
      </c>
      <c r="J22" s="155">
        <f t="shared" si="14"/>
        <v>383.22844014167998</v>
      </c>
      <c r="K22" s="161">
        <f t="shared" ref="K22:K28" si="18">J22*24</f>
        <v>9197.4825634003191</v>
      </c>
      <c r="L22" s="176">
        <f t="shared" ref="L22:L28" si="19">25.13*0.454/3412.12</f>
        <v>3.3436749000621316E-3</v>
      </c>
      <c r="M22" s="155">
        <f t="shared" si="15"/>
        <v>531.48624176381998</v>
      </c>
      <c r="N22" s="161">
        <f t="shared" si="16"/>
        <v>164760.73494678419</v>
      </c>
      <c r="O22" s="183">
        <f t="shared" ref="O22:O28" si="20">SUM(H22,K22,N22)</f>
        <v>36825993.910972185</v>
      </c>
    </row>
    <row r="23" spans="1:15" s="150" customFormat="1" ht="15" customHeight="1">
      <c r="A23" s="152" t="s">
        <v>699</v>
      </c>
      <c r="B23" s="915" t="s">
        <v>698</v>
      </c>
      <c r="C23" s="916" t="s">
        <v>57</v>
      </c>
      <c r="D23" s="175">
        <f>'2006 - 2009 APCO Billed kWh''s'!T22</f>
        <v>44162733</v>
      </c>
      <c r="E23" s="1072">
        <f>D23*3412.12/1000000</f>
        <v>150688.54452395998</v>
      </c>
      <c r="F23" s="1073"/>
      <c r="G23" s="249">
        <f>'APCO Emission Factors'!E$4*0.454/3412.12*1000</f>
        <v>230.58450464813666</v>
      </c>
      <c r="H23" s="178">
        <f t="shared" si="13"/>
        <v>34746443.395205997</v>
      </c>
      <c r="I23" s="176">
        <f t="shared" si="17"/>
        <v>2.4109585829337776E-3</v>
      </c>
      <c r="J23" s="155">
        <f t="shared" si="14"/>
        <v>363.30383976984001</v>
      </c>
      <c r="K23" s="161">
        <f t="shared" si="18"/>
        <v>8719.2921544761593</v>
      </c>
      <c r="L23" s="176">
        <f t="shared" si="19"/>
        <v>3.3436749000621316E-3</v>
      </c>
      <c r="M23" s="155">
        <f t="shared" si="15"/>
        <v>503.85350405165997</v>
      </c>
      <c r="N23" s="161">
        <f t="shared" si="16"/>
        <v>156194.58625601459</v>
      </c>
      <c r="O23" s="183">
        <f t="shared" si="20"/>
        <v>34911357.273616485</v>
      </c>
    </row>
    <row r="24" spans="1:15" s="150" customFormat="1" ht="15" customHeight="1">
      <c r="A24" s="152" t="s">
        <v>699</v>
      </c>
      <c r="B24" s="915" t="s">
        <v>698</v>
      </c>
      <c r="C24" s="916" t="s">
        <v>2267</v>
      </c>
      <c r="D24" s="175">
        <f>'2006 - 2009 APCO Billed kWh''s'!T23</f>
        <v>10215879</v>
      </c>
      <c r="E24" s="1072">
        <f t="shared" ref="E24:E28" si="21">D24*3412.12/1000000</f>
        <v>34857.805053479999</v>
      </c>
      <c r="F24" s="1073"/>
      <c r="G24" s="249">
        <f>'APCO Emission Factors'!E$4*0.454/3412.12*1000</f>
        <v>230.58450464813666</v>
      </c>
      <c r="H24" s="178">
        <f t="shared" si="13"/>
        <v>8037669.7113780007</v>
      </c>
      <c r="I24" s="176">
        <f t="shared" si="17"/>
        <v>2.4109585829337776E-3</v>
      </c>
      <c r="J24" s="155">
        <f t="shared" si="14"/>
        <v>84.040724275920013</v>
      </c>
      <c r="K24" s="161">
        <f t="shared" si="18"/>
        <v>2016.9773826220803</v>
      </c>
      <c r="L24" s="176">
        <f t="shared" si="19"/>
        <v>3.3436749000621316E-3</v>
      </c>
      <c r="M24" s="155">
        <f t="shared" si="15"/>
        <v>116.55316782858</v>
      </c>
      <c r="N24" s="161">
        <f t="shared" si="16"/>
        <v>36131.482026859798</v>
      </c>
      <c r="O24" s="183">
        <f t="shared" si="20"/>
        <v>8075818.1707874825</v>
      </c>
    </row>
    <row r="25" spans="1:15" s="150" customFormat="1" ht="15" customHeight="1">
      <c r="A25" s="152" t="s">
        <v>699</v>
      </c>
      <c r="B25" s="915" t="s">
        <v>717</v>
      </c>
      <c r="C25" s="916" t="s">
        <v>55</v>
      </c>
      <c r="D25" s="175">
        <f>'2008 VTES Billed kWh''s'!C46</f>
        <v>55088756</v>
      </c>
      <c r="E25" s="1072">
        <f t="shared" si="21"/>
        <v>187969.44612271999</v>
      </c>
      <c r="F25" s="1073"/>
      <c r="G25" s="249">
        <f>'APCO Emission Factors'!E$4*0.454/3412.12*1000</f>
        <v>230.58450464813666</v>
      </c>
      <c r="H25" s="178">
        <f t="shared" si="13"/>
        <v>43342841.623192005</v>
      </c>
      <c r="I25" s="176">
        <f t="shared" si="17"/>
        <v>2.4109585829337776E-3</v>
      </c>
      <c r="J25" s="155">
        <f t="shared" si="14"/>
        <v>453.18654945888005</v>
      </c>
      <c r="K25" s="161">
        <f t="shared" si="18"/>
        <v>10876.477187013121</v>
      </c>
      <c r="L25" s="176">
        <f t="shared" si="19"/>
        <v>3.3436749000621316E-3</v>
      </c>
      <c r="M25" s="155">
        <f t="shared" si="15"/>
        <v>628.50871897911998</v>
      </c>
      <c r="N25" s="161">
        <f t="shared" si="16"/>
        <v>194837.70288352721</v>
      </c>
      <c r="O25" s="183">
        <f t="shared" si="20"/>
        <v>43548555.803262547</v>
      </c>
    </row>
    <row r="26" spans="1:15" s="150" customFormat="1" ht="15" customHeight="1">
      <c r="A26" s="152" t="s">
        <v>699</v>
      </c>
      <c r="B26" s="915" t="s">
        <v>717</v>
      </c>
      <c r="C26" s="916" t="s">
        <v>56</v>
      </c>
      <c r="D26" s="175">
        <f>'2008 VTES Billed kWh''s'!C47</f>
        <v>55614440</v>
      </c>
      <c r="E26" s="1072">
        <f t="shared" si="21"/>
        <v>189763.14301279999</v>
      </c>
      <c r="F26" s="1073"/>
      <c r="G26" s="249">
        <f>'APCO Emission Factors'!E$4*0.454/3412.12*1000</f>
        <v>230.58450464813666</v>
      </c>
      <c r="H26" s="178">
        <f t="shared" si="13"/>
        <v>43756440.332079999</v>
      </c>
      <c r="I26" s="176">
        <f t="shared" si="17"/>
        <v>2.4109585829337776E-3</v>
      </c>
      <c r="J26" s="155">
        <f t="shared" si="14"/>
        <v>457.51107837120003</v>
      </c>
      <c r="K26" s="161">
        <f t="shared" si="18"/>
        <v>10980.265880908801</v>
      </c>
      <c r="L26" s="176">
        <f t="shared" si="19"/>
        <v>3.3436749000621316E-3</v>
      </c>
      <c r="M26" s="155">
        <f t="shared" si="15"/>
        <v>634.50625824880001</v>
      </c>
      <c r="N26" s="161">
        <f t="shared" si="16"/>
        <v>196696.940057128</v>
      </c>
      <c r="O26" s="183">
        <f t="shared" si="20"/>
        <v>43964117.538018033</v>
      </c>
    </row>
    <row r="27" spans="1:15" s="150" customFormat="1" ht="15" customHeight="1">
      <c r="A27" s="152" t="s">
        <v>699</v>
      </c>
      <c r="B27" s="915" t="s">
        <v>717</v>
      </c>
      <c r="C27" s="916" t="s">
        <v>57</v>
      </c>
      <c r="D27" s="175">
        <f>'2008 VTES Billed kWh''s'!C48</f>
        <v>11941590</v>
      </c>
      <c r="E27" s="1072">
        <f t="shared" si="21"/>
        <v>40746.138070799992</v>
      </c>
      <c r="F27" s="1073"/>
      <c r="G27" s="249">
        <f>'APCO Emission Factors'!E$4*0.454/3412.12*1000</f>
        <v>230.58450464813666</v>
      </c>
      <c r="H27" s="178">
        <f t="shared" si="13"/>
        <v>9395428.0633799993</v>
      </c>
      <c r="I27" s="176">
        <f t="shared" si="17"/>
        <v>2.4109585829337776E-3</v>
      </c>
      <c r="J27" s="155">
        <f t="shared" si="14"/>
        <v>98.237251303199997</v>
      </c>
      <c r="K27" s="161">
        <f t="shared" si="18"/>
        <v>2357.6940312768002</v>
      </c>
      <c r="L27" s="176">
        <f t="shared" si="19"/>
        <v>3.3436749000621316E-3</v>
      </c>
      <c r="M27" s="155">
        <f t="shared" si="15"/>
        <v>136.24183914179997</v>
      </c>
      <c r="N27" s="161">
        <f t="shared" si="16"/>
        <v>42234.970133957991</v>
      </c>
      <c r="O27" s="183">
        <f t="shared" si="20"/>
        <v>9440020.7275452353</v>
      </c>
    </row>
    <row r="28" spans="1:15" s="150" customFormat="1" ht="15" customHeight="1">
      <c r="A28" s="157" t="s">
        <v>699</v>
      </c>
      <c r="B28" s="917" t="s">
        <v>717</v>
      </c>
      <c r="C28" s="918" t="s">
        <v>2267</v>
      </c>
      <c r="D28" s="175">
        <f>'2008 VTES Billed kWh''s'!C49</f>
        <v>7058132.7800000012</v>
      </c>
      <c r="E28" s="1074">
        <f t="shared" si="21"/>
        <v>24083.196021293603</v>
      </c>
      <c r="F28" s="1075"/>
      <c r="G28" s="249">
        <f>'APCO Emission Factors'!E$4*0.454/3412.12*1000</f>
        <v>230.58450464813666</v>
      </c>
      <c r="H28" s="179">
        <f t="shared" si="13"/>
        <v>5553211.8249139609</v>
      </c>
      <c r="I28" s="177">
        <f t="shared" si="17"/>
        <v>2.4109585829337776E-3</v>
      </c>
      <c r="J28" s="159">
        <f t="shared" si="14"/>
        <v>58.063588152014418</v>
      </c>
      <c r="K28" s="162">
        <f t="shared" si="18"/>
        <v>1393.5261156483461</v>
      </c>
      <c r="L28" s="177">
        <f t="shared" si="19"/>
        <v>3.3436749000621316E-3</v>
      </c>
      <c r="M28" s="159">
        <f t="shared" si="15"/>
        <v>80.526378049675614</v>
      </c>
      <c r="N28" s="162">
        <f t="shared" si="16"/>
        <v>24963.177195399439</v>
      </c>
      <c r="O28" s="184">
        <f t="shared" si="20"/>
        <v>5579568.5282250084</v>
      </c>
    </row>
    <row r="29" spans="1:15" ht="15" customHeight="1">
      <c r="C29" s="912" t="s">
        <v>863</v>
      </c>
      <c r="D29" s="281"/>
      <c r="E29" s="1074">
        <f>SUM(E21:E28)</f>
        <v>1138428.7411067334</v>
      </c>
      <c r="F29" s="1075"/>
      <c r="G29" s="281"/>
      <c r="H29" s="281">
        <f t="shared" ref="H29:O29" si="22">SUM(H21:H28)</f>
        <v>262504027.34529799</v>
      </c>
      <c r="I29" s="485"/>
      <c r="J29" s="281">
        <f t="shared" si="22"/>
        <v>2744.7045444297746</v>
      </c>
      <c r="K29" s="282">
        <f t="shared" si="22"/>
        <v>65872.909066314591</v>
      </c>
      <c r="L29" s="281"/>
      <c r="M29" s="281">
        <f t="shared" si="22"/>
        <v>3806.5356071479155</v>
      </c>
      <c r="N29" s="281">
        <f t="shared" si="22"/>
        <v>1180026.038215854</v>
      </c>
      <c r="O29" s="479">
        <f t="shared" si="22"/>
        <v>263749926.29258016</v>
      </c>
    </row>
    <row r="30" spans="1:15">
      <c r="A30" s="185" t="s">
        <v>784</v>
      </c>
    </row>
    <row r="31" spans="1:15" ht="18">
      <c r="B31" s="2"/>
      <c r="E31" s="150"/>
      <c r="F31" s="55"/>
      <c r="G31" s="1035" t="s">
        <v>774</v>
      </c>
      <c r="H31" s="1036"/>
      <c r="I31" s="1037" t="s">
        <v>775</v>
      </c>
      <c r="J31" s="1037"/>
      <c r="K31" s="1036"/>
      <c r="L31" s="1035" t="s">
        <v>776</v>
      </c>
      <c r="M31" s="1037"/>
      <c r="N31" s="1036"/>
    </row>
    <row r="32" spans="1:15" s="150" customFormat="1" ht="46.5" customHeight="1">
      <c r="A32" s="172" t="s">
        <v>58</v>
      </c>
      <c r="B32" s="167" t="s">
        <v>783</v>
      </c>
      <c r="C32" s="171" t="s">
        <v>54</v>
      </c>
      <c r="D32" s="480" t="s">
        <v>820</v>
      </c>
      <c r="E32" s="552" t="s">
        <v>696</v>
      </c>
      <c r="F32" s="169" t="s">
        <v>854</v>
      </c>
      <c r="G32" s="170" t="s">
        <v>850</v>
      </c>
      <c r="H32" s="171" t="s">
        <v>778</v>
      </c>
      <c r="I32" s="169" t="s">
        <v>851</v>
      </c>
      <c r="J32" s="168" t="s">
        <v>778</v>
      </c>
      <c r="K32" s="174" t="s">
        <v>780</v>
      </c>
      <c r="L32" s="170" t="s">
        <v>851</v>
      </c>
      <c r="M32" s="168" t="s">
        <v>778</v>
      </c>
      <c r="N32" s="174" t="s">
        <v>780</v>
      </c>
      <c r="O32" s="172" t="s">
        <v>779</v>
      </c>
    </row>
    <row r="33" spans="1:15">
      <c r="A33" s="251" t="s">
        <v>781</v>
      </c>
      <c r="B33" s="254" t="s">
        <v>855</v>
      </c>
      <c r="C33" s="255" t="s">
        <v>782</v>
      </c>
      <c r="D33" s="494">
        <f>SUM('VDOT VMT Totals'!G$23,'VDOT VMT Totals'!G$22)*60.6/60.9</f>
        <v>150736292.2151376</v>
      </c>
      <c r="E33" s="546">
        <f>F33*'Transportation Fuel Information'!$R$31</f>
        <v>766049.58889870136</v>
      </c>
      <c r="F33" s="262">
        <f>D33/'Vehicle Fuel Efficiency'!V7</f>
        <v>6372329.4838306475</v>
      </c>
      <c r="G33" s="266">
        <v>8.7799999999999994</v>
      </c>
      <c r="H33" s="267">
        <f>G33*F33</f>
        <v>55949052.868033081</v>
      </c>
      <c r="I33" s="266">
        <f>0.028/1000</f>
        <v>2.8E-5</v>
      </c>
      <c r="J33" s="270">
        <f t="shared" ref="J33:J40" si="23">I33*D33</f>
        <v>4220.6161820238531</v>
      </c>
      <c r="K33" s="271">
        <f t="shared" ref="K33:K40" si="24">J33*24</f>
        <v>101294.78836857248</v>
      </c>
      <c r="L33" s="266">
        <f>0.029/1000</f>
        <v>2.9E-5</v>
      </c>
      <c r="M33" s="270">
        <f t="shared" ref="M33:M40" si="25">L33*D33</f>
        <v>4371.35247423899</v>
      </c>
      <c r="N33" s="271">
        <f t="shared" ref="N33:N40" si="26">M33*310</f>
        <v>1355119.2670140869</v>
      </c>
      <c r="O33" s="273">
        <f>SUM(N33,K33,H33)</f>
        <v>57405466.923415743</v>
      </c>
    </row>
    <row r="34" spans="1:15">
      <c r="A34" s="252" t="s">
        <v>781</v>
      </c>
      <c r="B34" s="256" t="s">
        <v>862</v>
      </c>
      <c r="C34" s="257" t="s">
        <v>782</v>
      </c>
      <c r="D34" s="495">
        <f>SUM('VDOT VMT Totals'!G$23,'VDOT VMT Totals'!G$22)*0.3/60.9</f>
        <v>746219.26839177043</v>
      </c>
      <c r="E34" s="547">
        <f>F34*'Transportation Fuel Information'!$R$32</f>
        <v>4192.961254175003</v>
      </c>
      <c r="F34" s="263">
        <f>D34/'Vehicle Fuel Efficiency'!V7</f>
        <v>31546.185563518062</v>
      </c>
      <c r="G34" s="72">
        <v>10.210000000000001</v>
      </c>
      <c r="H34" s="268">
        <f t="shared" ref="H34:H40" si="27">G34*F34</f>
        <v>322086.55460351944</v>
      </c>
      <c r="I34" s="72">
        <f>0.001/1000</f>
        <v>9.9999999999999995E-7</v>
      </c>
      <c r="J34" s="248">
        <f t="shared" si="23"/>
        <v>0.74621926839177044</v>
      </c>
      <c r="K34" s="161">
        <f t="shared" si="24"/>
        <v>17.90926244140249</v>
      </c>
      <c r="L34" s="72">
        <f>0.001/1000</f>
        <v>9.9999999999999995E-7</v>
      </c>
      <c r="M34" s="248">
        <f t="shared" si="25"/>
        <v>0.74621926839177044</v>
      </c>
      <c r="N34" s="161">
        <f t="shared" si="26"/>
        <v>231.32797320144883</v>
      </c>
      <c r="O34" s="274">
        <f t="shared" ref="O34:O40" si="28">SUM(N34,K34,H34)</f>
        <v>322335.7918391623</v>
      </c>
    </row>
    <row r="35" spans="1:15">
      <c r="A35" s="252" t="s">
        <v>781</v>
      </c>
      <c r="B35" s="256" t="s">
        <v>856</v>
      </c>
      <c r="C35" s="257" t="s">
        <v>782</v>
      </c>
      <c r="D35" s="495">
        <f>'VDOT VMT Totals'!G$24*32.4/33.7</f>
        <v>19867030.841189276</v>
      </c>
      <c r="E35" s="547">
        <f>F35*'Transportation Fuel Information'!$R$31</f>
        <v>137762.66507907258</v>
      </c>
      <c r="F35" s="264">
        <f>$D35/'Vehicle Fuel Efficiency'!$V$8</f>
        <v>1145969.0145079447</v>
      </c>
      <c r="G35" s="72">
        <v>8.7799999999999994</v>
      </c>
      <c r="H35" s="268">
        <f t="shared" si="27"/>
        <v>10061607.947379753</v>
      </c>
      <c r="I35" s="72">
        <f>0.031/1000</f>
        <v>3.1000000000000001E-5</v>
      </c>
      <c r="J35" s="248">
        <f t="shared" si="23"/>
        <v>615.87795607686758</v>
      </c>
      <c r="K35" s="161">
        <f t="shared" si="24"/>
        <v>14781.070945844822</v>
      </c>
      <c r="L35" s="72">
        <f>0.043/1000</f>
        <v>4.2999999999999995E-5</v>
      </c>
      <c r="M35" s="248">
        <f t="shared" si="25"/>
        <v>854.28232617113883</v>
      </c>
      <c r="N35" s="161">
        <f t="shared" si="26"/>
        <v>264827.52111305302</v>
      </c>
      <c r="O35" s="274">
        <f t="shared" si="28"/>
        <v>10341216.53943865</v>
      </c>
    </row>
    <row r="36" spans="1:15">
      <c r="A36" s="252" t="s">
        <v>781</v>
      </c>
      <c r="B36" s="256" t="s">
        <v>857</v>
      </c>
      <c r="C36" s="257" t="s">
        <v>782</v>
      </c>
      <c r="D36" s="495">
        <f>'VDOT VMT Totals'!G$24*1.3/33.7</f>
        <v>797133.95350450813</v>
      </c>
      <c r="E36" s="547">
        <f>F36*'Transportation Fuel Information'!$R$32</f>
        <v>6111.463365195078</v>
      </c>
      <c r="F36" s="264">
        <f>$D36/'Vehicle Fuel Efficiency'!$V$8</f>
        <v>45980.238236429883</v>
      </c>
      <c r="G36" s="72">
        <v>10.210000000000001</v>
      </c>
      <c r="H36" s="268">
        <f t="shared" si="27"/>
        <v>469458.23239394912</v>
      </c>
      <c r="I36" s="72">
        <f>0.001/1000</f>
        <v>9.9999999999999995E-7</v>
      </c>
      <c r="J36" s="248">
        <f t="shared" si="23"/>
        <v>0.79713395350450811</v>
      </c>
      <c r="K36" s="161">
        <f t="shared" si="24"/>
        <v>19.131214884108196</v>
      </c>
      <c r="L36" s="72">
        <f>0.001/1000</f>
        <v>9.9999999999999995E-7</v>
      </c>
      <c r="M36" s="248">
        <f t="shared" si="25"/>
        <v>0.79713395350450811</v>
      </c>
      <c r="N36" s="161">
        <f t="shared" si="26"/>
        <v>247.11152558639751</v>
      </c>
      <c r="O36" s="274">
        <f t="shared" si="28"/>
        <v>469724.47513441963</v>
      </c>
    </row>
    <row r="37" spans="1:15">
      <c r="A37" s="252" t="s">
        <v>853</v>
      </c>
      <c r="B37" s="256" t="s">
        <v>858</v>
      </c>
      <c r="C37" s="257" t="s">
        <v>782</v>
      </c>
      <c r="D37" s="495">
        <f>SUM('VDOT VMT Totals'!G$26:G$31)*0.292</f>
        <v>1461691.3437162871</v>
      </c>
      <c r="E37" s="547">
        <f>F37*'Transportation Fuel Information'!$R$31</f>
        <v>22412.911337353755</v>
      </c>
      <c r="F37" s="263">
        <f>D37/7.84</f>
        <v>186440.22241279171</v>
      </c>
      <c r="G37" s="72">
        <v>8.7799999999999994</v>
      </c>
      <c r="H37" s="268">
        <f t="shared" si="27"/>
        <v>1636945.1527843112</v>
      </c>
      <c r="I37" s="72">
        <f>0.033/1000</f>
        <v>3.3000000000000003E-5</v>
      </c>
      <c r="J37" s="248">
        <f t="shared" si="23"/>
        <v>48.235814342637475</v>
      </c>
      <c r="K37" s="161">
        <f t="shared" si="24"/>
        <v>1157.6595442232995</v>
      </c>
      <c r="L37" s="72">
        <f>0.0134/1000</f>
        <v>1.34E-5</v>
      </c>
      <c r="M37" s="248">
        <f t="shared" si="25"/>
        <v>19.586664005798248</v>
      </c>
      <c r="N37" s="161">
        <f t="shared" si="26"/>
        <v>6071.8658417974566</v>
      </c>
      <c r="O37" s="274">
        <f t="shared" si="28"/>
        <v>1644174.678170332</v>
      </c>
    </row>
    <row r="38" spans="1:15">
      <c r="A38" s="252" t="s">
        <v>853</v>
      </c>
      <c r="B38" s="256" t="s">
        <v>859</v>
      </c>
      <c r="C38" s="257" t="s">
        <v>782</v>
      </c>
      <c r="D38" s="495">
        <f>SUM('VDOT VMT Totals'!G$26:G$31)*0.708</f>
        <v>3544100.929284696</v>
      </c>
      <c r="E38" s="547">
        <f>F38*'Transportation Fuel Information'!$R$32</f>
        <v>64974.368967706949</v>
      </c>
      <c r="F38" s="263">
        <f>D38/7.25</f>
        <v>488841.50748754427</v>
      </c>
      <c r="G38" s="72">
        <v>10.210000000000001</v>
      </c>
      <c r="H38" s="268">
        <f t="shared" si="27"/>
        <v>4991071.7914478276</v>
      </c>
      <c r="I38" s="72">
        <f>0.0051/1000</f>
        <v>5.1000000000000003E-6</v>
      </c>
      <c r="J38" s="248">
        <f t="shared" si="23"/>
        <v>18.07491473935195</v>
      </c>
      <c r="K38" s="161">
        <f t="shared" si="24"/>
        <v>433.79795374444677</v>
      </c>
      <c r="L38" s="72">
        <f>0.0048/1000</f>
        <v>4.7999999999999998E-6</v>
      </c>
      <c r="M38" s="248">
        <f t="shared" si="25"/>
        <v>17.011684460566538</v>
      </c>
      <c r="N38" s="161">
        <f t="shared" si="26"/>
        <v>5273.6221827756272</v>
      </c>
      <c r="O38" s="274">
        <f t="shared" si="28"/>
        <v>4996779.2115843473</v>
      </c>
    </row>
    <row r="39" spans="1:15">
      <c r="A39" s="252" t="s">
        <v>853</v>
      </c>
      <c r="B39" s="256" t="s">
        <v>860</v>
      </c>
      <c r="C39" s="257" t="s">
        <v>782</v>
      </c>
      <c r="D39" s="495">
        <f>SUM('VDOT VMT Totals'!G$32:G$33,'VDOT VMT Totals'!G$25)*0.025</f>
        <v>27751.589041461048</v>
      </c>
      <c r="E39" s="547">
        <f>F39*'Transportation Fuel Information'!$R$31</f>
        <v>412.89075205683662</v>
      </c>
      <c r="F39" s="263">
        <f>D39/8.08</f>
        <v>3434.6026041412188</v>
      </c>
      <c r="G39" s="72">
        <v>8.7799999999999994</v>
      </c>
      <c r="H39" s="268">
        <f t="shared" si="27"/>
        <v>30155.810864359897</v>
      </c>
      <c r="I39" s="72">
        <f>0.033/1000</f>
        <v>3.3000000000000003E-5</v>
      </c>
      <c r="J39" s="248">
        <f t="shared" si="23"/>
        <v>0.91580243836821462</v>
      </c>
      <c r="K39" s="161">
        <f t="shared" si="24"/>
        <v>21.979258520837149</v>
      </c>
      <c r="L39" s="72">
        <f>0.034/1000</f>
        <v>3.4E-5</v>
      </c>
      <c r="M39" s="248">
        <f t="shared" si="25"/>
        <v>0.94355402740967564</v>
      </c>
      <c r="N39" s="161">
        <f t="shared" si="26"/>
        <v>292.50174849699943</v>
      </c>
      <c r="O39" s="274">
        <f t="shared" si="28"/>
        <v>30470.291871377733</v>
      </c>
    </row>
    <row r="40" spans="1:15">
      <c r="A40" s="253" t="s">
        <v>853</v>
      </c>
      <c r="B40" s="258" t="s">
        <v>861</v>
      </c>
      <c r="C40" s="259" t="s">
        <v>782</v>
      </c>
      <c r="D40" s="496">
        <f>SUM('VDOT VMT Totals'!G$32:G$33,'VDOT VMT Totals'!G$25)*0.975</f>
        <v>1082311.9726169808</v>
      </c>
      <c r="E40" s="545">
        <f>F40*'Transportation Fuel Information'!$R$32</f>
        <v>28828.756681440078</v>
      </c>
      <c r="F40" s="265">
        <f>D40/4.99</f>
        <v>216896.18689719052</v>
      </c>
      <c r="G40" s="217">
        <v>10.210000000000001</v>
      </c>
      <c r="H40" s="269">
        <f t="shared" si="27"/>
        <v>2214510.0682203155</v>
      </c>
      <c r="I40" s="217">
        <f>0.0051/1000</f>
        <v>5.1000000000000003E-6</v>
      </c>
      <c r="J40" s="272">
        <f t="shared" si="23"/>
        <v>5.5197910603466021</v>
      </c>
      <c r="K40" s="162">
        <f t="shared" si="24"/>
        <v>132.47498544831845</v>
      </c>
      <c r="L40" s="217">
        <f>0.0048/1000</f>
        <v>4.7999999999999998E-6</v>
      </c>
      <c r="M40" s="272">
        <f t="shared" si="25"/>
        <v>5.1950974685615074</v>
      </c>
      <c r="N40" s="162">
        <f t="shared" si="26"/>
        <v>1610.4802152540674</v>
      </c>
      <c r="O40" s="275">
        <f t="shared" si="28"/>
        <v>2216253.0234210179</v>
      </c>
    </row>
    <row r="41" spans="1:15">
      <c r="C41" s="167" t="s">
        <v>863</v>
      </c>
      <c r="D41" s="479">
        <f>SUM(D33:D40)</f>
        <v>178262532.11288255</v>
      </c>
      <c r="E41" s="545">
        <f>SUM(E33:E40)</f>
        <v>1030745.6063357017</v>
      </c>
      <c r="F41" s="281"/>
      <c r="G41" s="485"/>
      <c r="H41" s="282">
        <f t="shared" ref="H41" si="29">SUM(H33:H40)</f>
        <v>75674888.425727129</v>
      </c>
      <c r="I41" s="281"/>
      <c r="J41" s="281">
        <f t="shared" ref="J41:K41" si="30">SUM(J33:J40)</f>
        <v>4910.7838139033192</v>
      </c>
      <c r="K41" s="281">
        <f t="shared" si="30"/>
        <v>117858.81153367972</v>
      </c>
      <c r="L41" s="485"/>
      <c r="M41" s="281">
        <f t="shared" ref="M41:O41" si="31">SUM(M33:M40)</f>
        <v>5269.9151535943611</v>
      </c>
      <c r="N41" s="282">
        <f t="shared" si="31"/>
        <v>1633673.6976142516</v>
      </c>
      <c r="O41" s="282">
        <f t="shared" si="31"/>
        <v>77426420.934875056</v>
      </c>
    </row>
    <row r="42" spans="1:15" s="697" customFormat="1">
      <c r="A42" s="185" t="s">
        <v>2061</v>
      </c>
      <c r="C42" s="627"/>
      <c r="D42" s="628"/>
      <c r="E42" s="628"/>
      <c r="F42" s="628"/>
      <c r="G42" s="628"/>
      <c r="H42" s="628"/>
      <c r="I42" s="628"/>
      <c r="J42" s="628"/>
      <c r="K42" s="628"/>
      <c r="L42" s="628"/>
      <c r="M42" s="628"/>
      <c r="N42" s="628"/>
      <c r="O42" s="628"/>
    </row>
    <row r="43" spans="1:15" s="697" customFormat="1" ht="18">
      <c r="B43" s="2"/>
      <c r="D43" s="150"/>
      <c r="E43" s="698"/>
      <c r="F43" s="698"/>
      <c r="G43" s="1038" t="s">
        <v>774</v>
      </c>
      <c r="H43" s="1039"/>
      <c r="I43" s="1038" t="s">
        <v>775</v>
      </c>
      <c r="J43" s="1040"/>
      <c r="K43" s="1039"/>
      <c r="L43" s="1038" t="s">
        <v>776</v>
      </c>
      <c r="M43" s="1040"/>
      <c r="N43" s="1039"/>
    </row>
    <row r="44" spans="1:15" s="697" customFormat="1" ht="30">
      <c r="A44" s="792" t="s">
        <v>58</v>
      </c>
      <c r="B44" s="793" t="s">
        <v>2065</v>
      </c>
      <c r="C44" s="794" t="s">
        <v>54</v>
      </c>
      <c r="D44" s="480" t="s">
        <v>2067</v>
      </c>
      <c r="E44" s="1049" t="s">
        <v>696</v>
      </c>
      <c r="F44" s="1050"/>
      <c r="G44" s="657" t="s">
        <v>777</v>
      </c>
      <c r="H44" s="656" t="s">
        <v>778</v>
      </c>
      <c r="I44" s="169" t="s">
        <v>777</v>
      </c>
      <c r="J44" s="168" t="s">
        <v>778</v>
      </c>
      <c r="K44" s="658" t="s">
        <v>780</v>
      </c>
      <c r="L44" s="657" t="s">
        <v>777</v>
      </c>
      <c r="M44" s="168" t="s">
        <v>778</v>
      </c>
      <c r="N44" s="658" t="s">
        <v>780</v>
      </c>
      <c r="O44" s="172" t="s">
        <v>779</v>
      </c>
    </row>
    <row r="45" spans="1:15" s="697" customFormat="1">
      <c r="A45" s="630" t="s">
        <v>2074</v>
      </c>
      <c r="B45" s="795" t="s">
        <v>2073</v>
      </c>
      <c r="C45" s="632" t="s">
        <v>2063</v>
      </c>
      <c r="D45" s="175">
        <f>'Wastewater Data'!J$7</f>
        <v>924653551.71428573</v>
      </c>
      <c r="E45" s="1029"/>
      <c r="F45" s="1030"/>
      <c r="G45" s="249"/>
      <c r="H45" s="178"/>
      <c r="I45" s="176"/>
      <c r="J45" s="155">
        <f>D45/36525*1.25*0.09*(1-0.325)*0.6*0.8*365.25</f>
        <v>337036.21959985717</v>
      </c>
      <c r="K45" s="161">
        <f>J45*24</f>
        <v>8088869.2703965716</v>
      </c>
      <c r="L45" s="176"/>
      <c r="M45" s="155"/>
      <c r="N45" s="161"/>
      <c r="O45" s="183">
        <f t="shared" ref="O45:O47" si="32">SUM(H45,K45,N45)</f>
        <v>8088869.2703965716</v>
      </c>
    </row>
    <row r="46" spans="1:15" s="697" customFormat="1">
      <c r="A46" s="165" t="s">
        <v>2069</v>
      </c>
      <c r="B46" s="153" t="s">
        <v>2070</v>
      </c>
      <c r="C46" s="156" t="s">
        <v>2063</v>
      </c>
      <c r="D46" s="175">
        <f>'Wastewater Data'!J$7</f>
        <v>924653551.71428573</v>
      </c>
      <c r="E46" s="1031"/>
      <c r="F46" s="1032"/>
      <c r="G46" s="249"/>
      <c r="H46" s="178"/>
      <c r="I46" s="176"/>
      <c r="J46" s="155"/>
      <c r="K46" s="161"/>
      <c r="L46" s="176"/>
      <c r="M46" s="155">
        <f>D46/36500*1.25*7/1000</f>
        <v>221.66352267123287</v>
      </c>
      <c r="N46" s="161">
        <f>M46*310</f>
        <v>68715.692028082194</v>
      </c>
      <c r="O46" s="183">
        <f t="shared" si="32"/>
        <v>68715.692028082194</v>
      </c>
    </row>
    <row r="47" spans="1:15" s="697" customFormat="1">
      <c r="A47" s="165" t="s">
        <v>2075</v>
      </c>
      <c r="B47" s="153" t="s">
        <v>2076</v>
      </c>
      <c r="C47" s="156" t="s">
        <v>2063</v>
      </c>
      <c r="D47" s="175">
        <f>'Wastewater Data'!J$7</f>
        <v>924653551.71428573</v>
      </c>
      <c r="E47" s="1031"/>
      <c r="F47" s="1032"/>
      <c r="G47" s="249"/>
      <c r="H47" s="178"/>
      <c r="I47" s="176"/>
      <c r="J47" s="155"/>
      <c r="K47" s="161"/>
      <c r="L47" s="176"/>
      <c r="M47" s="155">
        <f>D47/36525*1.25*0.026*0.005*0.005*44/28*(1-0.07)*365.25</f>
        <v>10.979435343078825</v>
      </c>
      <c r="N47" s="161">
        <f>M47*310</f>
        <v>3403.6249563544357</v>
      </c>
      <c r="O47" s="183">
        <f t="shared" si="32"/>
        <v>3403.6249563544357</v>
      </c>
    </row>
    <row r="48" spans="1:15" s="697" customFormat="1">
      <c r="A48" s="166" t="s">
        <v>2068</v>
      </c>
      <c r="B48" s="158" t="s">
        <v>2071</v>
      </c>
      <c r="C48" s="160" t="s">
        <v>2063</v>
      </c>
      <c r="D48" s="175">
        <f>'Wastewater Data'!J$7</f>
        <v>924653551.71428573</v>
      </c>
      <c r="E48" s="1033">
        <f>(D48*2000+D48*280)/1000000*3412.14/1000000</f>
        <v>7193.5080034777529</v>
      </c>
      <c r="F48" s="1034"/>
      <c r="G48" s="249">
        <f>'APCO Emission Factors'!I$4*0.454/3412.12*1000</f>
        <v>211.82373421802285</v>
      </c>
      <c r="H48" s="178">
        <f>G48*E48</f>
        <v>1523755.7274238917</v>
      </c>
      <c r="I48" s="176">
        <f>18.12*0.454/3412.12</f>
        <v>2.4109585829337776E-3</v>
      </c>
      <c r="J48" s="155">
        <f>I48*E48</f>
        <v>17.343249862387509</v>
      </c>
      <c r="K48" s="161">
        <f>J48*24</f>
        <v>416.23799669730022</v>
      </c>
      <c r="L48" s="176">
        <f>25.13*0.454/3412.12</f>
        <v>3.3436749000621316E-3</v>
      </c>
      <c r="M48" s="155">
        <f>L48*E48</f>
        <v>24.052752154624621</v>
      </c>
      <c r="N48" s="161">
        <f t="shared" ref="N48" si="33">M48*310</f>
        <v>7456.353167933632</v>
      </c>
      <c r="O48" s="183">
        <f>SUM(H48,K48,N48)</f>
        <v>1531628.3185885225</v>
      </c>
    </row>
    <row r="49" spans="1:16" s="697" customFormat="1">
      <c r="C49" s="629" t="s">
        <v>863</v>
      </c>
      <c r="D49" s="479"/>
      <c r="E49" s="1033">
        <f>SUM(E48:E48)</f>
        <v>7193.5080034777529</v>
      </c>
      <c r="F49" s="1034"/>
      <c r="G49" s="653"/>
      <c r="H49" s="654">
        <f>SUM(H48:H48)</f>
        <v>1523755.7274238917</v>
      </c>
      <c r="I49" s="653"/>
      <c r="J49" s="281">
        <f>SUM(J48:J48)</f>
        <v>17.343249862387509</v>
      </c>
      <c r="K49" s="654">
        <f>SUM(K48:K48)</f>
        <v>416.23799669730022</v>
      </c>
      <c r="L49" s="653"/>
      <c r="M49" s="281">
        <f>SUM(M48:M48)</f>
        <v>24.052752154624621</v>
      </c>
      <c r="N49" s="654">
        <f>SUM(N48:N48)</f>
        <v>7456.353167933632</v>
      </c>
      <c r="O49" s="654">
        <f>SUM(O45:O48)</f>
        <v>9692616.9059695303</v>
      </c>
    </row>
    <row r="50" spans="1:16" s="697" customFormat="1">
      <c r="A50" s="185" t="s">
        <v>2247</v>
      </c>
      <c r="C50" s="627"/>
      <c r="D50" s="628"/>
      <c r="E50" s="628"/>
      <c r="F50" s="628"/>
      <c r="G50" s="628"/>
      <c r="H50" s="628"/>
      <c r="I50" s="628"/>
      <c r="J50" s="628"/>
      <c r="K50" s="628"/>
      <c r="L50" s="628"/>
      <c r="M50" s="628"/>
      <c r="N50" s="628"/>
      <c r="O50" s="628"/>
    </row>
    <row r="51" spans="1:16" s="697" customFormat="1" ht="18">
      <c r="B51" s="2"/>
      <c r="D51" s="150"/>
      <c r="E51" s="698"/>
      <c r="F51" s="698"/>
      <c r="G51" s="1038" t="s">
        <v>774</v>
      </c>
      <c r="H51" s="1039"/>
      <c r="I51" s="1038" t="s">
        <v>775</v>
      </c>
      <c r="J51" s="1040"/>
      <c r="K51" s="1039"/>
      <c r="L51" s="1038" t="s">
        <v>776</v>
      </c>
      <c r="M51" s="1040"/>
      <c r="N51" s="1039"/>
    </row>
    <row r="52" spans="1:16" s="697" customFormat="1" ht="32.25" customHeight="1">
      <c r="A52" s="172" t="s">
        <v>58</v>
      </c>
      <c r="B52" s="655" t="s">
        <v>2065</v>
      </c>
      <c r="C52" s="168" t="s">
        <v>54</v>
      </c>
      <c r="D52" s="480" t="s">
        <v>2244</v>
      </c>
      <c r="E52" s="1027" t="s">
        <v>696</v>
      </c>
      <c r="F52" s="1028"/>
      <c r="G52" s="49" t="s">
        <v>777</v>
      </c>
      <c r="H52" s="873" t="s">
        <v>778</v>
      </c>
      <c r="I52" s="49" t="s">
        <v>777</v>
      </c>
      <c r="J52" s="873" t="s">
        <v>778</v>
      </c>
      <c r="K52" s="873" t="s">
        <v>780</v>
      </c>
      <c r="L52" s="49" t="s">
        <v>777</v>
      </c>
      <c r="M52" s="794" t="s">
        <v>778</v>
      </c>
      <c r="N52" s="873" t="s">
        <v>780</v>
      </c>
      <c r="O52" s="172" t="s">
        <v>779</v>
      </c>
    </row>
    <row r="53" spans="1:16" s="697" customFormat="1">
      <c r="A53" s="630" t="s">
        <v>2170</v>
      </c>
      <c r="B53" s="631" t="s">
        <v>2171</v>
      </c>
      <c r="C53" s="632" t="s">
        <v>2077</v>
      </c>
      <c r="D53" s="490">
        <f>'Solid Waste Calculations'!D$13</f>
        <v>16406.194396011069</v>
      </c>
      <c r="E53" s="1029"/>
      <c r="F53" s="1030"/>
      <c r="G53" s="497"/>
      <c r="H53" s="498">
        <f>G53*E53</f>
        <v>0</v>
      </c>
      <c r="I53" s="874"/>
      <c r="J53" s="875">
        <f>(1-0.75)*(1-0.1)*D53*0.06</f>
        <v>221.48362434614944</v>
      </c>
      <c r="K53" s="271">
        <f>J53*24</f>
        <v>5315.6069843075866</v>
      </c>
      <c r="L53" s="874"/>
      <c r="M53" s="875"/>
      <c r="N53" s="271"/>
      <c r="O53" s="183">
        <f>SUM(H53,K53,N53)</f>
        <v>5315.6069843075866</v>
      </c>
    </row>
    <row r="54" spans="1:16" s="697" customFormat="1">
      <c r="A54" s="165" t="s">
        <v>2074</v>
      </c>
      <c r="B54" s="152" t="s">
        <v>2245</v>
      </c>
      <c r="C54" s="156" t="s">
        <v>2077</v>
      </c>
      <c r="D54" s="490">
        <f>'Solid Waste Calculations'!D$13</f>
        <v>16406.194396011069</v>
      </c>
      <c r="E54" s="1031"/>
      <c r="F54" s="1032"/>
      <c r="G54" s="492"/>
      <c r="H54" s="178">
        <f>D54*0.0164*1000</f>
        <v>269061.58809458156</v>
      </c>
      <c r="I54" s="876"/>
      <c r="J54" s="155"/>
      <c r="K54" s="161"/>
      <c r="L54" s="876"/>
      <c r="M54" s="155"/>
      <c r="N54" s="161"/>
      <c r="O54" s="183">
        <f t="shared" ref="O54:O55" si="34">SUM(H54,K54,N54)</f>
        <v>269061.58809458156</v>
      </c>
    </row>
    <row r="55" spans="1:16" s="697" customFormat="1">
      <c r="A55" s="166" t="s">
        <v>2069</v>
      </c>
      <c r="B55" s="157" t="s">
        <v>2246</v>
      </c>
      <c r="C55" s="160" t="s">
        <v>2077</v>
      </c>
      <c r="D55" s="490">
        <f>'Solid Waste Calculations'!D$13</f>
        <v>16406.194396011069</v>
      </c>
      <c r="E55" s="1033"/>
      <c r="F55" s="1034"/>
      <c r="G55" s="493"/>
      <c r="H55" s="179">
        <f>D55*4*0.00014*1000</f>
        <v>9187.4688617661996</v>
      </c>
      <c r="I55" s="877"/>
      <c r="J55" s="159"/>
      <c r="K55" s="162"/>
      <c r="L55" s="877"/>
      <c r="M55" s="159"/>
      <c r="N55" s="162"/>
      <c r="O55" s="183">
        <f t="shared" si="34"/>
        <v>9187.4688617661996</v>
      </c>
    </row>
    <row r="56" spans="1:16" s="697" customFormat="1">
      <c r="C56" s="629" t="s">
        <v>863</v>
      </c>
      <c r="D56" s="479"/>
      <c r="E56" s="1025">
        <f>SUM(E53:E55)</f>
        <v>0</v>
      </c>
      <c r="F56" s="1026"/>
      <c r="G56" s="653"/>
      <c r="H56" s="654">
        <f>SUM(H53:H55)</f>
        <v>278249.05695634778</v>
      </c>
      <c r="I56" s="653"/>
      <c r="J56" s="281">
        <f>SUM(J53:J55)</f>
        <v>221.48362434614944</v>
      </c>
      <c r="K56" s="654">
        <f>SUM(K53:K55)</f>
        <v>5315.6069843075866</v>
      </c>
      <c r="L56" s="653"/>
      <c r="M56" s="281"/>
      <c r="N56" s="654"/>
      <c r="O56" s="654">
        <f>SUM(O53:O55)</f>
        <v>283564.66394065536</v>
      </c>
    </row>
    <row r="57" spans="1:16" ht="15.75" thickBot="1">
      <c r="F57"/>
    </row>
    <row r="58" spans="1:16" ht="15.75" thickBot="1">
      <c r="C58" s="276"/>
      <c r="E58" s="150"/>
      <c r="F58" s="247"/>
      <c r="G58" s="277" t="s">
        <v>864</v>
      </c>
      <c r="H58" s="278">
        <f>SUM(H41,H29,H17,H10)</f>
        <v>385316043.84185427</v>
      </c>
      <c r="I58" s="279"/>
      <c r="J58" s="278">
        <f>SUM(J41,J29,J17,J10)</f>
        <v>11599.58917997</v>
      </c>
      <c r="K58" s="278">
        <f>SUM(K41,K29,K17,K10)</f>
        <v>278390.14031928004</v>
      </c>
      <c r="L58" s="279"/>
      <c r="M58" s="278">
        <f>SUM(M41,M29,M17,M10)</f>
        <v>9192.7279380983891</v>
      </c>
      <c r="N58" s="278">
        <f>SUM(N41,N29,N17,N10)</f>
        <v>2849745.6608105008</v>
      </c>
      <c r="O58" s="280">
        <f>SUM(O41,O29,O17,O10)</f>
        <v>388444179.64298403</v>
      </c>
    </row>
    <row r="59" spans="1:16">
      <c r="E59" s="150"/>
      <c r="F59" s="150"/>
      <c r="G59" s="55"/>
      <c r="P59" t="s">
        <v>865</v>
      </c>
    </row>
    <row r="60" spans="1:16" ht="30">
      <c r="A60" s="878" t="s">
        <v>868</v>
      </c>
      <c r="B60" s="1015" t="s">
        <v>970</v>
      </c>
      <c r="C60" s="985" t="s">
        <v>2530</v>
      </c>
    </row>
    <row r="61" spans="1:16">
      <c r="A61" s="56" t="s">
        <v>55</v>
      </c>
      <c r="B61" s="1016">
        <f>SUM(E6,E14:F16,E21,E25)</f>
        <v>896650.65782413713</v>
      </c>
      <c r="C61" s="273">
        <f>SUM(O6,O14,O15,O16,O21,O25)</f>
        <v>144677447.55252391</v>
      </c>
    </row>
    <row r="62" spans="1:16">
      <c r="A62" s="879" t="s">
        <v>56</v>
      </c>
      <c r="B62" s="1017">
        <f>SUM(E7,E22,E26)</f>
        <v>557348.42022866441</v>
      </c>
      <c r="C62" s="274">
        <f>SUM(O22,O26,O7)</f>
        <v>91860363.224598333</v>
      </c>
    </row>
    <row r="63" spans="1:16">
      <c r="A63" s="879" t="s">
        <v>57</v>
      </c>
      <c r="B63" s="1017">
        <f>SUM(E8,E23,E27)</f>
        <v>451474.93454874121</v>
      </c>
      <c r="C63" s="274">
        <f>SUM(O8,O23,O27)</f>
        <v>58118793.076462135</v>
      </c>
    </row>
    <row r="64" spans="1:16">
      <c r="A64" s="879" t="s">
        <v>2267</v>
      </c>
      <c r="B64" s="1017">
        <f>SUM(E9,E24,E28)</f>
        <v>109934.53974747361</v>
      </c>
      <c r="C64" s="274">
        <f>SUM(O9,O24,O28)</f>
        <v>16361154.854524625</v>
      </c>
    </row>
    <row r="65" spans="1:3">
      <c r="A65" s="879" t="s">
        <v>782</v>
      </c>
      <c r="B65" s="1017">
        <f>SUM(E33:E40)</f>
        <v>1030745.6063357017</v>
      </c>
      <c r="C65" s="274">
        <f>SUM(O33:O40)</f>
        <v>77426420.934875056</v>
      </c>
    </row>
    <row r="66" spans="1:3">
      <c r="A66" s="880" t="s">
        <v>2248</v>
      </c>
      <c r="B66" s="1018">
        <f>SUM(E48)</f>
        <v>7193.5080034777529</v>
      </c>
      <c r="C66" s="274">
        <f>O49</f>
        <v>9692616.9059695303</v>
      </c>
    </row>
    <row r="67" spans="1:3">
      <c r="A67" s="881" t="s">
        <v>2077</v>
      </c>
      <c r="B67" s="881"/>
      <c r="C67" s="275">
        <f>O56</f>
        <v>283564.66394065536</v>
      </c>
    </row>
    <row r="68" spans="1:3">
      <c r="A68" s="697"/>
      <c r="B68" s="697"/>
      <c r="C68" s="697"/>
    </row>
    <row r="69" spans="1:3" ht="30">
      <c r="A69" s="1021" t="s">
        <v>2101</v>
      </c>
      <c r="B69" s="942" t="s">
        <v>970</v>
      </c>
      <c r="C69" s="986" t="s">
        <v>2530</v>
      </c>
    </row>
    <row r="70" spans="1:3">
      <c r="A70" s="1019" t="s">
        <v>2</v>
      </c>
      <c r="B70" s="274">
        <f>SUM(E6:F9)</f>
        <v>843434.4112422826</v>
      </c>
      <c r="C70" s="1022">
        <f>SUM(O6:O9)</f>
        <v>44722892.56129697</v>
      </c>
    </row>
    <row r="71" spans="1:3">
      <c r="A71" s="1019" t="s">
        <v>2531</v>
      </c>
      <c r="B71" s="274">
        <f>SUM(E14:F16)</f>
        <v>33545.4</v>
      </c>
      <c r="C71" s="1022">
        <f>SUM(O14:O16)</f>
        <v>2544939.8542318833</v>
      </c>
    </row>
    <row r="72" spans="1:3">
      <c r="A72" s="1019" t="s">
        <v>588</v>
      </c>
      <c r="B72" s="274">
        <f>SUM(E21:F28,E48)</f>
        <v>1145622.2491102112</v>
      </c>
      <c r="C72" s="1022">
        <f>SUM(O21:O28,O48)</f>
        <v>265281554.61116868</v>
      </c>
    </row>
    <row r="73" spans="1:3">
      <c r="A73" s="1020" t="s">
        <v>2532</v>
      </c>
      <c r="B73" s="275">
        <f>SUM(E33:E40)</f>
        <v>1030745.6063357017</v>
      </c>
      <c r="C73" s="890">
        <f>SUM(O33:O40)</f>
        <v>77426420.934875056</v>
      </c>
    </row>
  </sheetData>
  <mergeCells count="54">
    <mergeCell ref="E55:F55"/>
    <mergeCell ref="E56:F56"/>
    <mergeCell ref="I51:K51"/>
    <mergeCell ref="L51:N51"/>
    <mergeCell ref="E52:F52"/>
    <mergeCell ref="E53:F53"/>
    <mergeCell ref="E54:F54"/>
    <mergeCell ref="E46:F46"/>
    <mergeCell ref="E47:F47"/>
    <mergeCell ref="E48:F48"/>
    <mergeCell ref="E49:F49"/>
    <mergeCell ref="G51:H51"/>
    <mergeCell ref="G43:H43"/>
    <mergeCell ref="I43:K43"/>
    <mergeCell ref="L43:N43"/>
    <mergeCell ref="E44:F44"/>
    <mergeCell ref="E45:F45"/>
    <mergeCell ref="E25:F25"/>
    <mergeCell ref="E26:F26"/>
    <mergeCell ref="E27:F27"/>
    <mergeCell ref="E28:F28"/>
    <mergeCell ref="E29:F29"/>
    <mergeCell ref="E20:F20"/>
    <mergeCell ref="E21:F21"/>
    <mergeCell ref="E22:F22"/>
    <mergeCell ref="E23:F23"/>
    <mergeCell ref="E24:F24"/>
    <mergeCell ref="E15:F15"/>
    <mergeCell ref="E16:F16"/>
    <mergeCell ref="E17:F17"/>
    <mergeCell ref="E18:F18"/>
    <mergeCell ref="E19:F19"/>
    <mergeCell ref="E10:F10"/>
    <mergeCell ref="E11:F11"/>
    <mergeCell ref="E12:F12"/>
    <mergeCell ref="E13:F13"/>
    <mergeCell ref="E14:F14"/>
    <mergeCell ref="E5:F5"/>
    <mergeCell ref="E6:F6"/>
    <mergeCell ref="E7:F7"/>
    <mergeCell ref="E8:F8"/>
    <mergeCell ref="E9:F9"/>
    <mergeCell ref="G4:H4"/>
    <mergeCell ref="I4:K4"/>
    <mergeCell ref="L4:N4"/>
    <mergeCell ref="G12:H12"/>
    <mergeCell ref="I12:K12"/>
    <mergeCell ref="L12:N12"/>
    <mergeCell ref="G19:H19"/>
    <mergeCell ref="I19:K19"/>
    <mergeCell ref="L19:N19"/>
    <mergeCell ref="G31:H31"/>
    <mergeCell ref="I31:K31"/>
    <mergeCell ref="L31:N31"/>
  </mergeCells>
  <hyperlinks>
    <hyperlink ref="E5" location="'Natural Gas Energy Content'!A1" tooltip="Natural Gas Energy Content" display="Energy Quantity (MMBtu)"/>
    <hyperlink ref="G5" location="'Default Emissions Factors'!A1" tooltip="Default Emissions Factors" display="CO2 Emission Coefficient"/>
    <hyperlink ref="D20" location="'2006 - 2009 APCO Billed kWh''s'!A1" tooltip="APCO Billed kWh's" display="Quantity (kWh)"/>
    <hyperlink ref="I5" location="'Default Emissions Factors'!A1" tooltip="Default Emissions Factors" display="Coefficient (kg/MMBtu)"/>
    <hyperlink ref="L5" location="'Default Emissions Factors'!A1" tooltip="Default Emissions Factors" display="CO2 Emission Coefficient"/>
    <hyperlink ref="G13" location="'Default Emissions Factors'!A1" tooltip="Default Emissions Factors" display="CO2 Emission Coefficient"/>
    <hyperlink ref="I13" location="'Default Emissions Factors'!A1" tooltip="Default Emissions Factors" display="CO2 Emission Coefficient"/>
    <hyperlink ref="G20" location="'APCO Emission Factors'!A1" tooltip="APCO Emission Factors" display="Coefficient (kg/MMBtu)"/>
    <hyperlink ref="I20" location="'Default Emissions Factors'!A1" tooltip="Default Emissions Factors" display="Coefficient (kg/MMBtu)"/>
    <hyperlink ref="L13" location="'Default Emissions Factors'!A1" tooltip="Default Emissions Factors" display="CO2 Emission Coefficient"/>
    <hyperlink ref="L20" location="'Default Emissions Factors'!A1" tooltip="Default Emissions Factors" display="CO2 Emission Coefficient"/>
    <hyperlink ref="K5" location="'Global Warming Potentials'!A1" tooltip="Global Warming Potentials" display="CO2 Equivalent (kg)"/>
    <hyperlink ref="K13" location="'Global Warming Potentials'!A1" tooltip="Global Warming Potentials" display="CO2 Equivalent (kg)"/>
    <hyperlink ref="K20" location="'Global Warming Potentials'!A1" tooltip="Global Warming Potentials" display="CO2 Equivalent (kg)"/>
    <hyperlink ref="N20" location="'Global Warming Potentials'!A1" tooltip="Global Warming Potentials" display="CO2 Equivalent (kg)"/>
    <hyperlink ref="N13" location="'Global Warming Potentials'!A1" tooltip="Global Warming Potentials" display="CO2 Equivalent (kg)"/>
    <hyperlink ref="N5" location="'Global Warming Potentials'!A1" tooltip="Global Warming Potentials" display="CO2 Equivalent (kg)"/>
    <hyperlink ref="D32" location="'VDOT VMT Totals'!A1" tooltip="VDOT VMT Totals" display="Quantity (VMT)"/>
    <hyperlink ref="G32" location="'Vehicle Emission Factors'!A1" tooltip="Vehicle Emission Factors" display="Coefficient (kg/gallon)"/>
    <hyperlink ref="I32" location="'Vehicle Emission Factors'!A1" tooltip="Vehicle Emission Factors" display="Coefficient (kg/VMT)"/>
    <hyperlink ref="L32" location="'Vehicle Emission Factors'!A1" tooltip="Vehicle Emission Factors" display="Coefficient (kg/MMBtu)"/>
    <hyperlink ref="K32" location="'Global Warming Potentials'!A1" tooltip="Global Warming Potentials" display="CO2 Equivalent (kg)"/>
    <hyperlink ref="N32" location="'Global Warming Potentials'!A1" tooltip="Global Warming Potentials" display="CO2 Equivalent (kg)"/>
    <hyperlink ref="F32" location="'Vehicle Fuel Efficiency'!A1" tooltip="Vehicle Fuel Efficiency" display="Energy Quantity (Gallons)"/>
    <hyperlink ref="E32" location="'Transportation Fuel Information'!A1" tooltip="Transportation Fuel Information" display="Energy Quantity (MMBtu)"/>
    <hyperlink ref="D5" location="'ATMOS NG Calculations'!A1" tooltip="ATMOS NG Calculations" display="Quantity (Mcf)"/>
    <hyperlink ref="E13" location="'BE.1.2 Calculations'!A1" tooltip="BE.1.2 Calculations" display="Energy Quantity (MMBtu)"/>
    <hyperlink ref="G44" location="'APCO Emission Factors'!A1" tooltip="APCO Emission Factors" display="Coefficient (kg/MMBtu)"/>
    <hyperlink ref="L44" location="'Default Emissions Factors'!A1" tooltip="Default Emissions Factors" display="CO2 Emission Coefficient"/>
    <hyperlink ref="D44" location="'Wastewater Data'!A1" tooltip="Wastewater Data" display="Quantity (Gal)"/>
    <hyperlink ref="N44" location="'Global Warming Potentials'!A1" tooltip="Global Warming Potentials" display="CO2 Equivalent (kg)"/>
    <hyperlink ref="K44" location="'Global Warming Potentials'!A1" tooltip="Global Warming Potentials" display="CO2 Equivalent (kg)"/>
    <hyperlink ref="I44" location="'Default Emissions Factors'!A1" tooltip="Default Emissions Factors" display="Coefficient (kg/MMBtu)"/>
    <hyperlink ref="D52" location="'Solid Waste Calculations'!A1" tooltip="Solid Waste Calculations" display="Quantity (Gal)"/>
    <hyperlink ref="N52" location="'Global Warming Potentials'!A1" tooltip="Global Warming Potentials" display="CO2 Equivalent (kg)"/>
    <hyperlink ref="K52" location="'Global Warming Potentials'!A1" tooltip="Global Warming Potentials" display="CO2 Equivalent (kg)"/>
    <hyperlink ref="H52" location="'Solid Waste Coefficients'!A1" tooltip="Solid Waste Coefficients" display="Quantity (kg)"/>
    <hyperlink ref="J52" location="'Solid Waste Coefficients'!A1" tooltip="Solid Waste Coefficients" display="Quantity (kg)"/>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dimension ref="A1:S75"/>
  <sheetViews>
    <sheetView topLeftCell="A19" workbookViewId="0">
      <selection activeCell="E26" sqref="E26"/>
    </sheetView>
  </sheetViews>
  <sheetFormatPr defaultRowHeight="15"/>
  <cols>
    <col min="1" max="1" width="21.28515625" customWidth="1"/>
    <col min="2" max="2" width="26.140625" bestFit="1" customWidth="1"/>
    <col min="3" max="3" width="18.140625" customWidth="1"/>
    <col min="4" max="4" width="14.7109375" style="150" bestFit="1" customWidth="1"/>
    <col min="5" max="5" width="10" style="55" bestFit="1" customWidth="1"/>
    <col min="6" max="6" width="10.5703125" style="698" bestFit="1" customWidth="1"/>
    <col min="7" max="7" width="12" bestFit="1" customWidth="1"/>
    <col min="8" max="8" width="18" bestFit="1" customWidth="1"/>
    <col min="9" max="10" width="12.5703125" bestFit="1" customWidth="1"/>
    <col min="11" max="11" width="14.7109375" customWidth="1"/>
    <col min="12" max="12" width="11.85546875" bestFit="1" customWidth="1"/>
    <col min="13" max="13" width="12.42578125" customWidth="1"/>
    <col min="14" max="14" width="14.5703125" bestFit="1" customWidth="1"/>
    <col min="15" max="15" width="19.7109375" bestFit="1" customWidth="1"/>
    <col min="16" max="16" width="4.5703125" customWidth="1"/>
    <col min="17" max="17" width="13.85546875" customWidth="1"/>
  </cols>
  <sheetData>
    <row r="1" spans="1:19">
      <c r="A1" s="1" t="s">
        <v>873</v>
      </c>
      <c r="B1" s="1"/>
      <c r="C1" s="150"/>
      <c r="D1" s="55"/>
      <c r="E1"/>
      <c r="F1" s="697"/>
      <c r="S1" t="s">
        <v>2</v>
      </c>
    </row>
    <row r="2" spans="1:19">
      <c r="C2" s="150"/>
      <c r="D2" s="55"/>
      <c r="E2"/>
      <c r="F2" s="697"/>
      <c r="S2" t="s">
        <v>866</v>
      </c>
    </row>
    <row r="3" spans="1:19">
      <c r="A3" s="2" t="s">
        <v>693</v>
      </c>
      <c r="B3" s="2"/>
      <c r="C3" s="150"/>
      <c r="D3" s="55"/>
      <c r="E3"/>
      <c r="F3" s="697"/>
      <c r="S3" t="s">
        <v>588</v>
      </c>
    </row>
    <row r="4" spans="1:19" ht="17.25" customHeight="1">
      <c r="B4" s="2"/>
      <c r="C4" s="2"/>
      <c r="G4" s="1035" t="s">
        <v>774</v>
      </c>
      <c r="H4" s="1037"/>
      <c r="I4" s="1035" t="s">
        <v>775</v>
      </c>
      <c r="J4" s="1037"/>
      <c r="K4" s="1036"/>
      <c r="L4" s="1035" t="s">
        <v>776</v>
      </c>
      <c r="M4" s="1037"/>
      <c r="N4" s="1036"/>
      <c r="S4" t="s">
        <v>867</v>
      </c>
    </row>
    <row r="5" spans="1:19" s="151" customFormat="1" ht="33" customHeight="1">
      <c r="A5" s="172" t="s">
        <v>58</v>
      </c>
      <c r="B5" s="167" t="s">
        <v>1</v>
      </c>
      <c r="C5" s="171" t="s">
        <v>54</v>
      </c>
      <c r="D5" s="480" t="s">
        <v>695</v>
      </c>
      <c r="E5" s="1041" t="s">
        <v>696</v>
      </c>
      <c r="F5" s="1042"/>
      <c r="G5" s="170" t="s">
        <v>777</v>
      </c>
      <c r="H5" s="168" t="s">
        <v>778</v>
      </c>
      <c r="I5" s="170" t="s">
        <v>777</v>
      </c>
      <c r="J5" s="168" t="s">
        <v>778</v>
      </c>
      <c r="K5" s="174" t="s">
        <v>780</v>
      </c>
      <c r="L5" s="170" t="s">
        <v>777</v>
      </c>
      <c r="M5" s="168" t="s">
        <v>778</v>
      </c>
      <c r="N5" s="174" t="s">
        <v>780</v>
      </c>
      <c r="O5" s="172" t="s">
        <v>779</v>
      </c>
    </row>
    <row r="6" spans="1:19" s="150" customFormat="1">
      <c r="A6" s="165" t="s">
        <v>59</v>
      </c>
      <c r="B6" s="152" t="s">
        <v>773</v>
      </c>
      <c r="C6" s="156" t="s">
        <v>55</v>
      </c>
      <c r="D6" s="260">
        <f>'ATMOS NG Calculations'!D13</f>
        <v>297000.32852464716</v>
      </c>
      <c r="E6" s="1043">
        <f>1.027*D6</f>
        <v>305019.33739481261</v>
      </c>
      <c r="F6" s="1044"/>
      <c r="G6" s="153">
        <v>52.91</v>
      </c>
      <c r="H6" s="155">
        <f>G6*E6</f>
        <v>16138573.141559534</v>
      </c>
      <c r="I6" s="152">
        <v>5.0000000000000001E-3</v>
      </c>
      <c r="J6" s="164">
        <f>I6*$E6</f>
        <v>1525.096686974063</v>
      </c>
      <c r="K6" s="161">
        <f>J6*24</f>
        <v>36602.32048737751</v>
      </c>
      <c r="L6" s="152">
        <v>1E-4</v>
      </c>
      <c r="M6" s="164">
        <f>L6*$E6</f>
        <v>30.501933739481263</v>
      </c>
      <c r="N6" s="161">
        <f>M6*310</f>
        <v>9455.5994592391908</v>
      </c>
      <c r="O6" s="183">
        <f>SUM(H6,K6,N6)</f>
        <v>16184631.06150615</v>
      </c>
    </row>
    <row r="7" spans="1:19" s="150" customFormat="1">
      <c r="A7" s="165" t="s">
        <v>59</v>
      </c>
      <c r="B7" s="152" t="s">
        <v>773</v>
      </c>
      <c r="C7" s="156" t="s">
        <v>56</v>
      </c>
      <c r="D7" s="154">
        <f>'ATMOS NG Calculations'!D14</f>
        <v>189488.69988535892</v>
      </c>
      <c r="E7" s="1045">
        <f t="shared" ref="E7:E9" si="0">1.027*D7</f>
        <v>194604.89478226358</v>
      </c>
      <c r="F7" s="1046"/>
      <c r="G7" s="153">
        <v>52.91</v>
      </c>
      <c r="H7" s="155">
        <f>G7*E7</f>
        <v>10296544.982929565</v>
      </c>
      <c r="I7" s="152">
        <v>5.0000000000000001E-3</v>
      </c>
      <c r="J7" s="164">
        <f t="shared" ref="J7:J9" si="1">I7*$E7</f>
        <v>973.02447391131795</v>
      </c>
      <c r="K7" s="161">
        <f t="shared" ref="K7:K9" si="2">J7*24</f>
        <v>23352.587373871633</v>
      </c>
      <c r="L7" s="152">
        <v>1E-4</v>
      </c>
      <c r="M7" s="164">
        <f t="shared" ref="M7:M9" si="3">L7*$E7</f>
        <v>19.460489478226361</v>
      </c>
      <c r="N7" s="161">
        <f t="shared" ref="N7:N9" si="4">M7*310</f>
        <v>6032.7517382501719</v>
      </c>
      <c r="O7" s="183">
        <f t="shared" ref="O7:O9" si="5">SUM(H7,K7,N7)</f>
        <v>10325930.322041687</v>
      </c>
    </row>
    <row r="8" spans="1:19" s="150" customFormat="1">
      <c r="A8" s="165" t="s">
        <v>59</v>
      </c>
      <c r="B8" s="152" t="s">
        <v>773</v>
      </c>
      <c r="C8" s="156" t="s">
        <v>57</v>
      </c>
      <c r="D8" s="154">
        <f>'ATMOS NG Calculations'!D18</f>
        <v>268044.30424487684</v>
      </c>
      <c r="E8" s="1045">
        <f t="shared" si="0"/>
        <v>275281.50045948848</v>
      </c>
      <c r="F8" s="1046"/>
      <c r="G8" s="153">
        <v>52.91</v>
      </c>
      <c r="H8" s="155">
        <f>G8*E8</f>
        <v>14565144.189311534</v>
      </c>
      <c r="I8" s="152">
        <v>1E-4</v>
      </c>
      <c r="J8" s="164">
        <f t="shared" si="1"/>
        <v>27.528150045948848</v>
      </c>
      <c r="K8" s="161">
        <f t="shared" si="2"/>
        <v>660.67560110277236</v>
      </c>
      <c r="L8" s="152">
        <v>1E-4</v>
      </c>
      <c r="M8" s="164">
        <f t="shared" si="3"/>
        <v>27.528150045948848</v>
      </c>
      <c r="N8" s="161">
        <f t="shared" si="4"/>
        <v>8533.7265142441429</v>
      </c>
      <c r="O8" s="183">
        <f t="shared" si="5"/>
        <v>14574338.591426881</v>
      </c>
    </row>
    <row r="9" spans="1:19" s="150" customFormat="1">
      <c r="A9" s="166" t="s">
        <v>59</v>
      </c>
      <c r="B9" s="157" t="s">
        <v>773</v>
      </c>
      <c r="C9" s="153" t="s">
        <v>2267</v>
      </c>
      <c r="D9" s="261">
        <f>'ATMOS NG Calculations'!D19</f>
        <v>37119.019800000002</v>
      </c>
      <c r="E9" s="1047">
        <f t="shared" si="0"/>
        <v>38121.233334600001</v>
      </c>
      <c r="F9" s="1048"/>
      <c r="G9" s="158">
        <v>52.91</v>
      </c>
      <c r="H9" s="159">
        <f>G9*E9</f>
        <v>2016994.455733686</v>
      </c>
      <c r="I9" s="157">
        <v>5.0000000000000001E-3</v>
      </c>
      <c r="J9" s="173">
        <f t="shared" si="1"/>
        <v>190.60616667300002</v>
      </c>
      <c r="K9" s="162">
        <f t="shared" si="2"/>
        <v>4574.5480001520009</v>
      </c>
      <c r="L9" s="157">
        <v>1E-4</v>
      </c>
      <c r="M9" s="173">
        <f t="shared" si="3"/>
        <v>3.8121233334600002</v>
      </c>
      <c r="N9" s="162">
        <f t="shared" si="4"/>
        <v>1181.7582333726</v>
      </c>
      <c r="O9" s="184">
        <f t="shared" si="5"/>
        <v>2022750.7619672106</v>
      </c>
    </row>
    <row r="10" spans="1:19" s="150" customFormat="1">
      <c r="A10" s="153"/>
      <c r="B10" s="153"/>
      <c r="C10" s="167" t="s">
        <v>863</v>
      </c>
      <c r="D10" s="479">
        <f>SUM(D6:D9)</f>
        <v>791652.35245488293</v>
      </c>
      <c r="E10" s="1025">
        <f>SUM(E6:E9)</f>
        <v>813026.96597116464</v>
      </c>
      <c r="F10" s="1026"/>
      <c r="G10" s="481"/>
      <c r="H10" s="282">
        <f t="shared" ref="H10:O10" si="6">SUM(H6:H9)</f>
        <v>43017256.76953432</v>
      </c>
      <c r="I10" s="284"/>
      <c r="J10" s="281">
        <f t="shared" si="6"/>
        <v>2716.2554776043298</v>
      </c>
      <c r="K10" s="281">
        <f t="shared" si="6"/>
        <v>65190.131462503923</v>
      </c>
      <c r="L10" s="485"/>
      <c r="M10" s="281">
        <f t="shared" si="6"/>
        <v>81.302696597116466</v>
      </c>
      <c r="N10" s="282">
        <f t="shared" si="6"/>
        <v>25203.835945106104</v>
      </c>
      <c r="O10" s="282">
        <f t="shared" si="6"/>
        <v>43107650.736941926</v>
      </c>
    </row>
    <row r="11" spans="1:19" s="153" customFormat="1">
      <c r="D11" s="154"/>
      <c r="E11" s="163"/>
      <c r="F11" s="163"/>
      <c r="H11" s="155"/>
    </row>
    <row r="12" spans="1:19" s="150" customFormat="1" ht="18">
      <c r="G12" s="1035" t="s">
        <v>774</v>
      </c>
      <c r="H12" s="1036"/>
      <c r="I12" s="1037" t="s">
        <v>775</v>
      </c>
      <c r="J12" s="1037"/>
      <c r="K12" s="1036"/>
      <c r="L12" s="1035" t="s">
        <v>776</v>
      </c>
      <c r="M12" s="1037"/>
      <c r="N12" s="1036"/>
    </row>
    <row r="13" spans="1:19" s="151" customFormat="1" ht="34.5" customHeight="1">
      <c r="A13" s="172" t="s">
        <v>58</v>
      </c>
      <c r="B13" s="167" t="s">
        <v>1</v>
      </c>
      <c r="C13" s="168" t="s">
        <v>54</v>
      </c>
      <c r="D13" s="167"/>
      <c r="E13" s="1054" t="s">
        <v>696</v>
      </c>
      <c r="F13" s="1055"/>
      <c r="G13" s="169" t="s">
        <v>777</v>
      </c>
      <c r="H13" s="171" t="s">
        <v>778</v>
      </c>
      <c r="I13" s="169" t="s">
        <v>777</v>
      </c>
      <c r="J13" s="168" t="s">
        <v>778</v>
      </c>
      <c r="K13" s="174" t="s">
        <v>780</v>
      </c>
      <c r="L13" s="170" t="s">
        <v>777</v>
      </c>
      <c r="M13" s="168" t="s">
        <v>778</v>
      </c>
      <c r="N13" s="174" t="s">
        <v>780</v>
      </c>
      <c r="O13" s="172" t="s">
        <v>779</v>
      </c>
    </row>
    <row r="14" spans="1:19" s="150" customFormat="1">
      <c r="A14" s="165" t="s">
        <v>60</v>
      </c>
      <c r="B14" s="152" t="s">
        <v>686</v>
      </c>
      <c r="C14" s="153" t="s">
        <v>55</v>
      </c>
      <c r="D14" s="152"/>
      <c r="E14" s="1043">
        <f>'BE.1.2 Calculations'!H17*'BE.1.2 Calculations'!B17</f>
        <v>1037.4000000000001</v>
      </c>
      <c r="F14" s="1044"/>
      <c r="G14" s="180">
        <v>62.98</v>
      </c>
      <c r="H14" s="161">
        <f>G14*E14</f>
        <v>65335.452000000005</v>
      </c>
      <c r="I14" s="181">
        <f>0.001/0.092</f>
        <v>1.0869565217391304E-2</v>
      </c>
      <c r="J14" s="164">
        <f>I14*$E14</f>
        <v>11.276086956521739</v>
      </c>
      <c r="K14" s="161">
        <f>J14*24</f>
        <v>270.62608695652176</v>
      </c>
      <c r="L14" s="181">
        <f>0.0001/0.092</f>
        <v>1.0869565217391304E-3</v>
      </c>
      <c r="M14" s="164">
        <f>L14*$E14</f>
        <v>1.127608695652174</v>
      </c>
      <c r="N14" s="161">
        <f t="shared" ref="N14:N16" si="7">M14*310</f>
        <v>349.55869565217392</v>
      </c>
      <c r="O14" s="183">
        <f>SUM(H14,K14,N14)</f>
        <v>65955.636782608693</v>
      </c>
    </row>
    <row r="15" spans="1:19" s="150" customFormat="1">
      <c r="A15" s="165" t="s">
        <v>60</v>
      </c>
      <c r="B15" s="152" t="s">
        <v>685</v>
      </c>
      <c r="C15" s="153" t="s">
        <v>55</v>
      </c>
      <c r="D15" s="152"/>
      <c r="E15" s="1045">
        <f>'BE.1.2 Calculations'!H18*'BE.1.2 Calculations'!B18</f>
        <v>30422</v>
      </c>
      <c r="F15" s="1046"/>
      <c r="G15" s="180">
        <v>73.959999999999994</v>
      </c>
      <c r="H15" s="161">
        <f>G15*E15</f>
        <v>2250011.1199999996</v>
      </c>
      <c r="I15" s="181">
        <f>0.0015/0.138</f>
        <v>1.0869565217391304E-2</v>
      </c>
      <c r="J15" s="164">
        <f t="shared" ref="J15:J16" si="8">I15*$E15</f>
        <v>330.67391304347825</v>
      </c>
      <c r="K15" s="161">
        <f t="shared" ref="K15:K16" si="9">J15*24</f>
        <v>7936.173913043478</v>
      </c>
      <c r="L15" s="181">
        <f>0.0001/0.138</f>
        <v>7.246376811594203E-4</v>
      </c>
      <c r="M15" s="164">
        <f t="shared" ref="M15:M16" si="10">L15*$E15</f>
        <v>22.044927536231885</v>
      </c>
      <c r="N15" s="161">
        <f t="shared" si="7"/>
        <v>6833.927536231884</v>
      </c>
      <c r="O15" s="183">
        <f t="shared" ref="O15:O16" si="11">SUM(H15,K15,N15)</f>
        <v>2264781.221449275</v>
      </c>
    </row>
    <row r="16" spans="1:19" s="150" customFormat="1">
      <c r="A16" s="166" t="s">
        <v>60</v>
      </c>
      <c r="B16" s="157" t="s">
        <v>590</v>
      </c>
      <c r="C16" s="158" t="s">
        <v>55</v>
      </c>
      <c r="D16" s="157"/>
      <c r="E16" s="1047">
        <f>'BE.1.2 Calculations'!H19*'BE.1.2 Calculations'!B19</f>
        <v>2086</v>
      </c>
      <c r="F16" s="1048"/>
      <c r="G16" s="250">
        <v>93.8</v>
      </c>
      <c r="H16" s="162">
        <f>G16*E16</f>
        <v>195666.8</v>
      </c>
      <c r="I16" s="182">
        <v>0.316</v>
      </c>
      <c r="J16" s="173">
        <f t="shared" si="8"/>
        <v>659.17600000000004</v>
      </c>
      <c r="K16" s="162">
        <f t="shared" si="9"/>
        <v>15820.224000000002</v>
      </c>
      <c r="L16" s="182">
        <v>4.1999999999999997E-3</v>
      </c>
      <c r="M16" s="173">
        <f t="shared" si="10"/>
        <v>8.7611999999999988</v>
      </c>
      <c r="N16" s="162">
        <f t="shared" si="7"/>
        <v>2715.9719999999998</v>
      </c>
      <c r="O16" s="184">
        <f t="shared" si="11"/>
        <v>214202.99599999998</v>
      </c>
    </row>
    <row r="17" spans="1:15" s="150" customFormat="1">
      <c r="B17" s="153"/>
      <c r="C17" s="167" t="s">
        <v>863</v>
      </c>
      <c r="D17" s="479"/>
      <c r="E17" s="1025">
        <f>SUM(E14:E16)</f>
        <v>33545.4</v>
      </c>
      <c r="F17" s="1026"/>
      <c r="G17" s="485"/>
      <c r="H17" s="282">
        <f t="shared" ref="H17:O17" si="12">SUM(H14:H16)</f>
        <v>2511013.3719999995</v>
      </c>
      <c r="I17" s="281"/>
      <c r="J17" s="281">
        <f t="shared" si="12"/>
        <v>1001.126</v>
      </c>
      <c r="K17" s="281">
        <f t="shared" si="12"/>
        <v>24027.024000000001</v>
      </c>
      <c r="L17" s="485"/>
      <c r="M17" s="281">
        <f t="shared" si="12"/>
        <v>31.933736231884058</v>
      </c>
      <c r="N17" s="282">
        <f t="shared" si="12"/>
        <v>9899.4582318840585</v>
      </c>
      <c r="O17" s="282">
        <f t="shared" si="12"/>
        <v>2544939.8542318833</v>
      </c>
    </row>
    <row r="18" spans="1:15">
      <c r="A18" s="2" t="s">
        <v>694</v>
      </c>
      <c r="C18" s="150"/>
      <c r="D18" s="55"/>
      <c r="E18"/>
      <c r="F18" s="697"/>
    </row>
    <row r="19" spans="1:15" ht="18">
      <c r="B19" s="2"/>
      <c r="G19" s="1035" t="s">
        <v>774</v>
      </c>
      <c r="H19" s="1036"/>
      <c r="I19" s="1037" t="s">
        <v>775</v>
      </c>
      <c r="J19" s="1037"/>
      <c r="K19" s="1036"/>
      <c r="L19" s="1035" t="s">
        <v>776</v>
      </c>
      <c r="M19" s="1037"/>
      <c r="N19" s="1036"/>
    </row>
    <row r="20" spans="1:15" s="150" customFormat="1" ht="30">
      <c r="A20" s="172" t="s">
        <v>58</v>
      </c>
      <c r="B20" s="796" t="s">
        <v>697</v>
      </c>
      <c r="C20" s="797" t="s">
        <v>54</v>
      </c>
      <c r="D20" s="169" t="s">
        <v>700</v>
      </c>
      <c r="E20" s="1027" t="s">
        <v>696</v>
      </c>
      <c r="F20" s="1028"/>
      <c r="G20" s="170" t="s">
        <v>777</v>
      </c>
      <c r="H20" s="171" t="s">
        <v>778</v>
      </c>
      <c r="I20" s="169" t="s">
        <v>777</v>
      </c>
      <c r="J20" s="168" t="s">
        <v>778</v>
      </c>
      <c r="K20" s="174" t="s">
        <v>780</v>
      </c>
      <c r="L20" s="170" t="s">
        <v>777</v>
      </c>
      <c r="M20" s="168" t="s">
        <v>778</v>
      </c>
      <c r="N20" s="174" t="s">
        <v>780</v>
      </c>
      <c r="O20" s="172" t="s">
        <v>779</v>
      </c>
    </row>
    <row r="21" spans="1:15" s="150" customFormat="1">
      <c r="A21" s="152" t="s">
        <v>699</v>
      </c>
      <c r="B21" s="631" t="s">
        <v>698</v>
      </c>
      <c r="C21" s="632" t="s">
        <v>55</v>
      </c>
      <c r="D21" s="175">
        <f>'2006 - 2009 APCO Billed kWh''s'!T12</f>
        <v>91588676</v>
      </c>
      <c r="E21" s="1029">
        <f>D21*3412.12/1000000</f>
        <v>312511.55315311998</v>
      </c>
      <c r="F21" s="1030"/>
      <c r="G21" s="497">
        <f>'APCO Emission Factors'!D$4*0.454/3412.12*1000</f>
        <v>225.79452070853313</v>
      </c>
      <c r="H21" s="498">
        <f t="shared" ref="H21:H30" si="13">G21*E21</f>
        <v>70563396.360088006</v>
      </c>
      <c r="I21" s="176">
        <f>18.12*0.454/3412.12</f>
        <v>2.4109585829337776E-3</v>
      </c>
      <c r="J21" s="155">
        <f t="shared" ref="J21:J30" si="14">I21*E21</f>
        <v>753.45241134048001</v>
      </c>
      <c r="K21" s="161">
        <f>J21*24</f>
        <v>18082.85787217152</v>
      </c>
      <c r="L21" s="176">
        <f>25.13*0.454/3412.12</f>
        <v>3.3436749000621316E-3</v>
      </c>
      <c r="M21" s="155">
        <f t="shared" ref="M21:M30" si="15">L21*E21</f>
        <v>1044.93703625752</v>
      </c>
      <c r="N21" s="161">
        <f t="shared" ref="N21:N30" si="16">M21*310</f>
        <v>323930.48123983119</v>
      </c>
      <c r="O21" s="183">
        <f>SUM(H21,K21,N21)</f>
        <v>70905409.699200004</v>
      </c>
    </row>
    <row r="22" spans="1:15" s="150" customFormat="1">
      <c r="A22" s="152" t="s">
        <v>699</v>
      </c>
      <c r="B22" s="152" t="s">
        <v>698</v>
      </c>
      <c r="C22" s="156" t="s">
        <v>56</v>
      </c>
      <c r="D22" s="175">
        <f>'2006 - 2009 APCO Billed kWh''s'!T13</f>
        <v>22342444</v>
      </c>
      <c r="E22" s="1031">
        <f>D22*3412.12/1000000</f>
        <v>76235.100021279999</v>
      </c>
      <c r="F22" s="1032"/>
      <c r="G22" s="492">
        <f>'APCO Emission Factors'!D$4*0.454/3412.12*1000</f>
        <v>225.79452070853313</v>
      </c>
      <c r="H22" s="178">
        <f t="shared" si="13"/>
        <v>17213467.870472003</v>
      </c>
      <c r="I22" s="176">
        <f t="shared" ref="I22:I30" si="17">18.12*0.454/3412.12</f>
        <v>2.4109585829337776E-3</v>
      </c>
      <c r="J22" s="155">
        <f t="shared" si="14"/>
        <v>183.79966871712003</v>
      </c>
      <c r="K22" s="161">
        <f t="shared" ref="K22:K30" si="18">J22*24</f>
        <v>4411.1920492108802</v>
      </c>
      <c r="L22" s="176">
        <f t="shared" ref="L22:L30" si="19">25.13*0.454/3412.12</f>
        <v>3.3436749000621316E-3</v>
      </c>
      <c r="M22" s="155">
        <f t="shared" si="15"/>
        <v>254.90539044488</v>
      </c>
      <c r="N22" s="161">
        <f t="shared" si="16"/>
        <v>79020.671037912805</v>
      </c>
      <c r="O22" s="183">
        <f t="shared" ref="O22:O30" si="20">SUM(H22,K22,N22)</f>
        <v>17296899.733559124</v>
      </c>
    </row>
    <row r="23" spans="1:15" s="150" customFormat="1">
      <c r="A23" s="152" t="s">
        <v>699</v>
      </c>
      <c r="B23" s="152" t="s">
        <v>698</v>
      </c>
      <c r="C23" s="156" t="s">
        <v>57</v>
      </c>
      <c r="D23" s="175">
        <f>'2006 - 2009 APCO Billed kWh''s'!T14</f>
        <v>20141863</v>
      </c>
      <c r="E23" s="1031">
        <f>D23*3412.12/1000000</f>
        <v>68726.453579559995</v>
      </c>
      <c r="F23" s="1032"/>
      <c r="G23" s="492">
        <f>'APCO Emission Factors'!D$4*0.454/3412.12*1000</f>
        <v>225.79452070853313</v>
      </c>
      <c r="H23" s="178">
        <f t="shared" si="13"/>
        <v>15518056.645994</v>
      </c>
      <c r="I23" s="176">
        <f t="shared" si="17"/>
        <v>2.4109585829337776E-3</v>
      </c>
      <c r="J23" s="155">
        <f t="shared" si="14"/>
        <v>165.69663313224001</v>
      </c>
      <c r="K23" s="161">
        <f t="shared" si="18"/>
        <v>3976.7191951737605</v>
      </c>
      <c r="L23" s="176">
        <f t="shared" si="19"/>
        <v>3.3436749000621316E-3</v>
      </c>
      <c r="M23" s="155">
        <f t="shared" si="15"/>
        <v>229.79891780425999</v>
      </c>
      <c r="N23" s="161">
        <f t="shared" si="16"/>
        <v>71237.664519320591</v>
      </c>
      <c r="O23" s="183">
        <f t="shared" si="20"/>
        <v>15593271.029708495</v>
      </c>
    </row>
    <row r="24" spans="1:15" s="150" customFormat="1">
      <c r="A24" s="501" t="s">
        <v>699</v>
      </c>
      <c r="B24" s="501" t="s">
        <v>698</v>
      </c>
      <c r="C24" s="502" t="s">
        <v>2267</v>
      </c>
      <c r="D24" s="477">
        <f>'2006 - 2009 APCO Billed kWh''s'!T$15</f>
        <v>209963825</v>
      </c>
      <c r="E24" s="1078">
        <f t="shared" ref="E24:E30" si="21">D24*3412.12/1000000</f>
        <v>716421.76655900001</v>
      </c>
      <c r="F24" s="1079"/>
      <c r="G24" s="503">
        <f>'APCO Emission Factors'!D$4*0.454/3412.12*1000</f>
        <v>225.79452070853313</v>
      </c>
      <c r="H24" s="504">
        <f t="shared" si="13"/>
        <v>161764109.40535</v>
      </c>
      <c r="I24" s="505">
        <f t="shared" si="17"/>
        <v>2.4109585829337776E-3</v>
      </c>
      <c r="J24" s="506">
        <f t="shared" si="14"/>
        <v>1727.2632070860002</v>
      </c>
      <c r="K24" s="507">
        <f t="shared" si="18"/>
        <v>41454.316970064006</v>
      </c>
      <c r="L24" s="505">
        <f t="shared" si="19"/>
        <v>3.3436749000621316E-3</v>
      </c>
      <c r="M24" s="506">
        <f t="shared" si="15"/>
        <v>2395.4814787015002</v>
      </c>
      <c r="N24" s="507">
        <f t="shared" si="16"/>
        <v>742599.25839746511</v>
      </c>
      <c r="O24" s="508">
        <f t="shared" si="20"/>
        <v>162548162.98071751</v>
      </c>
    </row>
    <row r="25" spans="1:15" s="150" customFormat="1">
      <c r="A25" s="509" t="s">
        <v>967</v>
      </c>
      <c r="B25" s="509" t="s">
        <v>698</v>
      </c>
      <c r="C25" s="510" t="s">
        <v>2267</v>
      </c>
      <c r="D25" s="511">
        <f>'2006 - 2009 APCO Billed kWh''s'!T23</f>
        <v>10215879</v>
      </c>
      <c r="E25" s="1080">
        <f t="shared" ref="E25" si="22">D25*3412.12/1000000</f>
        <v>34857.805053479999</v>
      </c>
      <c r="F25" s="1081"/>
      <c r="G25" s="512">
        <f>'APCO Emission Factors'!D$4*0.454/3412.12*1000</f>
        <v>225.79452070853313</v>
      </c>
      <c r="H25" s="513">
        <f t="shared" ref="H25" si="23">G25*E25</f>
        <v>7870701.3850020003</v>
      </c>
      <c r="I25" s="514">
        <f t="shared" si="17"/>
        <v>2.4109585829337776E-3</v>
      </c>
      <c r="J25" s="515">
        <f t="shared" ref="J25" si="24">I25*E25</f>
        <v>84.040724275920013</v>
      </c>
      <c r="K25" s="516">
        <f t="shared" ref="K25" si="25">J25*24</f>
        <v>2016.9773826220803</v>
      </c>
      <c r="L25" s="514">
        <f t="shared" si="19"/>
        <v>3.3436749000621316E-3</v>
      </c>
      <c r="M25" s="515">
        <f t="shared" ref="M25" si="26">L25*E25</f>
        <v>116.55316782858</v>
      </c>
      <c r="N25" s="516">
        <f t="shared" ref="N25" si="27">M25*310</f>
        <v>36131.482026859798</v>
      </c>
      <c r="O25" s="517">
        <f t="shared" ref="O25" si="28">SUM(H25,K25,N25)</f>
        <v>7908849.8444114821</v>
      </c>
    </row>
    <row r="26" spans="1:15" s="1224" customFormat="1">
      <c r="A26" s="915"/>
      <c r="B26" s="915"/>
      <c r="C26" s="916"/>
      <c r="D26" s="1216"/>
      <c r="E26" s="1225" t="s">
        <v>2533</v>
      </c>
      <c r="F26" s="1217"/>
      <c r="G26" s="1218"/>
      <c r="H26" s="1219"/>
      <c r="I26" s="1220"/>
      <c r="J26" s="1221"/>
      <c r="K26" s="1222"/>
      <c r="L26" s="1220"/>
      <c r="M26" s="1221"/>
      <c r="N26" s="1222"/>
      <c r="O26" s="1223"/>
    </row>
    <row r="27" spans="1:15" s="150" customFormat="1">
      <c r="A27" s="152" t="s">
        <v>699</v>
      </c>
      <c r="B27" s="152" t="s">
        <v>717</v>
      </c>
      <c r="C27" s="156" t="s">
        <v>55</v>
      </c>
      <c r="D27" s="175">
        <f>'2007 VTES Billed kWh''s'!C46</f>
        <v>56566818</v>
      </c>
      <c r="E27" s="1031">
        <f t="shared" si="21"/>
        <v>193012.77103416002</v>
      </c>
      <c r="F27" s="1032"/>
      <c r="G27" s="492">
        <f>'APCO Emission Factors'!D$4*0.454/3412.12*1000</f>
        <v>225.79452070853313</v>
      </c>
      <c r="H27" s="178">
        <f t="shared" si="13"/>
        <v>43581226.126284011</v>
      </c>
      <c r="I27" s="176">
        <f t="shared" si="17"/>
        <v>2.4109585829337776E-3</v>
      </c>
      <c r="J27" s="155">
        <f t="shared" si="14"/>
        <v>465.34579694064013</v>
      </c>
      <c r="K27" s="161">
        <f t="shared" si="18"/>
        <v>11168.299126575363</v>
      </c>
      <c r="L27" s="176">
        <f t="shared" si="19"/>
        <v>3.3436749000621316E-3</v>
      </c>
      <c r="M27" s="155">
        <f t="shared" si="15"/>
        <v>645.37195789836005</v>
      </c>
      <c r="N27" s="161">
        <f t="shared" si="16"/>
        <v>200065.3069484916</v>
      </c>
      <c r="O27" s="183">
        <f t="shared" si="20"/>
        <v>43792459.732359074</v>
      </c>
    </row>
    <row r="28" spans="1:15" s="150" customFormat="1">
      <c r="A28" s="152" t="s">
        <v>699</v>
      </c>
      <c r="B28" s="152" t="s">
        <v>717</v>
      </c>
      <c r="C28" s="156" t="s">
        <v>56</v>
      </c>
      <c r="D28" s="175">
        <f>'2007 VTES Billed kWh''s'!C47</f>
        <v>56709595</v>
      </c>
      <c r="E28" s="1031">
        <f t="shared" si="21"/>
        <v>193499.94329140001</v>
      </c>
      <c r="F28" s="1032"/>
      <c r="G28" s="492">
        <f>'APCO Emission Factors'!D$4*0.454/3412.12*1000</f>
        <v>225.79452070853313</v>
      </c>
      <c r="H28" s="178">
        <f t="shared" si="13"/>
        <v>43691226.952610001</v>
      </c>
      <c r="I28" s="176">
        <f t="shared" si="17"/>
        <v>2.4109585829337776E-3</v>
      </c>
      <c r="J28" s="155">
        <f t="shared" si="14"/>
        <v>466.52034907560005</v>
      </c>
      <c r="K28" s="161">
        <f t="shared" si="18"/>
        <v>11196.488377814401</v>
      </c>
      <c r="L28" s="176">
        <f t="shared" si="19"/>
        <v>3.3436749000621316E-3</v>
      </c>
      <c r="M28" s="155">
        <f t="shared" si="15"/>
        <v>647.00090354690008</v>
      </c>
      <c r="N28" s="161">
        <f t="shared" si="16"/>
        <v>200570.28009953903</v>
      </c>
      <c r="O28" s="183">
        <f t="shared" si="20"/>
        <v>43902993.721087359</v>
      </c>
    </row>
    <row r="29" spans="1:15" s="150" customFormat="1">
      <c r="A29" s="152" t="s">
        <v>699</v>
      </c>
      <c r="B29" s="152" t="s">
        <v>717</v>
      </c>
      <c r="C29" s="156" t="s">
        <v>57</v>
      </c>
      <c r="D29" s="175">
        <f>'2007 VTES Billed kWh''s'!C48</f>
        <v>11826000</v>
      </c>
      <c r="E29" s="1031">
        <f t="shared" si="21"/>
        <v>40351.731119999997</v>
      </c>
      <c r="F29" s="1032"/>
      <c r="G29" s="492">
        <f>'APCO Emission Factors'!D$4*0.454/3412.12*1000</f>
        <v>225.79452070853313</v>
      </c>
      <c r="H29" s="178">
        <f t="shared" si="13"/>
        <v>9111199.7880000006</v>
      </c>
      <c r="I29" s="176">
        <f t="shared" si="17"/>
        <v>2.4109585829337776E-3</v>
      </c>
      <c r="J29" s="155">
        <f t="shared" si="14"/>
        <v>97.286352480000005</v>
      </c>
      <c r="K29" s="161">
        <f t="shared" si="18"/>
        <v>2334.8724595200001</v>
      </c>
      <c r="L29" s="176">
        <f t="shared" si="19"/>
        <v>3.3436749000621316E-3</v>
      </c>
      <c r="M29" s="155">
        <f t="shared" si="15"/>
        <v>134.92307052000001</v>
      </c>
      <c r="N29" s="161">
        <f t="shared" si="16"/>
        <v>41826.1518612</v>
      </c>
      <c r="O29" s="183">
        <f t="shared" si="20"/>
        <v>9155360.8123207204</v>
      </c>
    </row>
    <row r="30" spans="1:15" s="150" customFormat="1">
      <c r="A30" s="157" t="s">
        <v>699</v>
      </c>
      <c r="B30" s="157" t="s">
        <v>717</v>
      </c>
      <c r="C30" s="160" t="s">
        <v>2267</v>
      </c>
      <c r="D30" s="175">
        <f>'2007 VTES Billed kWh''s'!C49</f>
        <v>7086414.0100000007</v>
      </c>
      <c r="E30" s="1033">
        <f t="shared" si="21"/>
        <v>24179.6949718012</v>
      </c>
      <c r="F30" s="1034"/>
      <c r="G30" s="492">
        <f>'APCO Emission Factors'!D$4*0.454/3412.12*1000</f>
        <v>225.79452070853313</v>
      </c>
      <c r="H30" s="179">
        <f t="shared" si="13"/>
        <v>5459642.6370363804</v>
      </c>
      <c r="I30" s="177">
        <f t="shared" si="17"/>
        <v>2.4109585829337776E-3</v>
      </c>
      <c r="J30" s="159">
        <f t="shared" si="14"/>
        <v>58.296243124984805</v>
      </c>
      <c r="K30" s="162">
        <f t="shared" si="18"/>
        <v>1399.1098349996353</v>
      </c>
      <c r="L30" s="177">
        <f t="shared" si="19"/>
        <v>3.3436749000621316E-3</v>
      </c>
      <c r="M30" s="159">
        <f t="shared" si="15"/>
        <v>80.849039168370211</v>
      </c>
      <c r="N30" s="162">
        <f t="shared" si="16"/>
        <v>25063.202142194765</v>
      </c>
      <c r="O30" s="184">
        <f t="shared" si="20"/>
        <v>5486104.949013575</v>
      </c>
    </row>
    <row r="31" spans="1:15">
      <c r="C31" s="629" t="s">
        <v>863</v>
      </c>
      <c r="D31" s="479"/>
      <c r="E31" s="1025">
        <f>SUM(E21:E30)-E24</f>
        <v>943375.05222480104</v>
      </c>
      <c r="F31" s="1026"/>
      <c r="G31" s="485"/>
      <c r="H31" s="282">
        <f>SUM(H21:H30)-H24</f>
        <v>213008917.76548639</v>
      </c>
      <c r="I31" s="281"/>
      <c r="J31" s="281">
        <f>SUM(J21:J30)-J24</f>
        <v>2274.4381790869857</v>
      </c>
      <c r="K31" s="281">
        <f>SUM(K21:K30)-K24</f>
        <v>54586.516298087641</v>
      </c>
      <c r="L31" s="485"/>
      <c r="M31" s="281">
        <f>SUM(M21:M30)-M24</f>
        <v>3154.3394834688697</v>
      </c>
      <c r="N31" s="282">
        <f>SUM(N21:N30)-N24</f>
        <v>977845.23987535015</v>
      </c>
      <c r="O31" s="282">
        <f>SUM(O21:O30)-O24</f>
        <v>214041349.52165982</v>
      </c>
    </row>
    <row r="32" spans="1:15">
      <c r="A32" s="185" t="s">
        <v>784</v>
      </c>
    </row>
    <row r="33" spans="1:15" ht="18">
      <c r="B33" s="2"/>
      <c r="E33" s="150"/>
      <c r="F33" s="55"/>
      <c r="G33" s="1035" t="s">
        <v>774</v>
      </c>
      <c r="H33" s="1036"/>
      <c r="I33" s="1037" t="s">
        <v>775</v>
      </c>
      <c r="J33" s="1037"/>
      <c r="K33" s="1036"/>
      <c r="L33" s="1035" t="s">
        <v>776</v>
      </c>
      <c r="M33" s="1037"/>
      <c r="N33" s="1036"/>
    </row>
    <row r="34" spans="1:15" s="150" customFormat="1" ht="49.5" customHeight="1">
      <c r="A34" s="172" t="s">
        <v>58</v>
      </c>
      <c r="B34" s="167" t="s">
        <v>783</v>
      </c>
      <c r="C34" s="171" t="s">
        <v>54</v>
      </c>
      <c r="D34" s="480" t="s">
        <v>820</v>
      </c>
      <c r="E34" s="552" t="s">
        <v>696</v>
      </c>
      <c r="F34" s="169" t="s">
        <v>854</v>
      </c>
      <c r="G34" s="170" t="s">
        <v>850</v>
      </c>
      <c r="H34" s="171" t="s">
        <v>778</v>
      </c>
      <c r="I34" s="169" t="s">
        <v>851</v>
      </c>
      <c r="J34" s="168" t="s">
        <v>778</v>
      </c>
      <c r="K34" s="174" t="s">
        <v>780</v>
      </c>
      <c r="L34" s="170" t="s">
        <v>851</v>
      </c>
      <c r="M34" s="168" t="s">
        <v>778</v>
      </c>
      <c r="N34" s="174" t="s">
        <v>780</v>
      </c>
      <c r="O34" s="172" t="s">
        <v>779</v>
      </c>
    </row>
    <row r="35" spans="1:15">
      <c r="A35" s="251" t="s">
        <v>781</v>
      </c>
      <c r="B35" s="254" t="s">
        <v>855</v>
      </c>
      <c r="C35" s="255" t="s">
        <v>782</v>
      </c>
      <c r="D35" s="494">
        <f>SUM('VDOT VMT Totals'!F$23,'VDOT VMT Totals'!F$22)*60.6/60.9</f>
        <v>148597504.72930476</v>
      </c>
      <c r="E35" s="546">
        <f>F35*'Transportation Fuel Information'!$R$31</f>
        <v>781244.23781027412</v>
      </c>
      <c r="F35" s="262">
        <f>D35/'Vehicle Fuel Efficiency'!U7</f>
        <v>6498725.099282736</v>
      </c>
      <c r="G35" s="266">
        <v>8.7799999999999994</v>
      </c>
      <c r="H35" s="267">
        <f>G35*F35</f>
        <v>57058806.371702418</v>
      </c>
      <c r="I35" s="266">
        <f>0.028/1000</f>
        <v>2.8E-5</v>
      </c>
      <c r="J35" s="270">
        <f t="shared" ref="J35:J42" si="29">I35*D35</f>
        <v>4160.7301324205337</v>
      </c>
      <c r="K35" s="271">
        <f t="shared" ref="K35:K42" si="30">J35*24</f>
        <v>99857.523178092815</v>
      </c>
      <c r="L35" s="266">
        <f>0.029/1000</f>
        <v>2.9E-5</v>
      </c>
      <c r="M35" s="270">
        <f t="shared" ref="M35:M42" si="31">L35*D35</f>
        <v>4309.3276371498378</v>
      </c>
      <c r="N35" s="271">
        <f t="shared" ref="N35:N42" si="32">M35*310</f>
        <v>1335891.5675164496</v>
      </c>
      <c r="O35" s="273">
        <f>SUM(N35,K35,H35)</f>
        <v>58494555.462396957</v>
      </c>
    </row>
    <row r="36" spans="1:15">
      <c r="A36" s="252" t="s">
        <v>781</v>
      </c>
      <c r="B36" s="256" t="s">
        <v>862</v>
      </c>
      <c r="C36" s="257" t="s">
        <v>782</v>
      </c>
      <c r="D36" s="495">
        <f>SUM('VDOT VMT Totals'!F$23,'VDOT VMT Totals'!F$22)*0.3/60.9</f>
        <v>735631.21153121174</v>
      </c>
      <c r="E36" s="547">
        <f>F36*'Transportation Fuel Information'!$R$32</f>
        <v>4276.1289434216087</v>
      </c>
      <c r="F36" s="263">
        <f>D36/'Vehicle Fuel Efficiency'!U7</f>
        <v>32171.906432092754</v>
      </c>
      <c r="G36" s="72">
        <v>10.210000000000001</v>
      </c>
      <c r="H36" s="268">
        <f t="shared" ref="H36:H42" si="33">G36*F36</f>
        <v>328475.16467166704</v>
      </c>
      <c r="I36" s="72">
        <f>0.001/1000</f>
        <v>9.9999999999999995E-7</v>
      </c>
      <c r="J36" s="248">
        <f t="shared" si="29"/>
        <v>0.73563121153121169</v>
      </c>
      <c r="K36" s="161">
        <f t="shared" si="30"/>
        <v>17.65514907674908</v>
      </c>
      <c r="L36" s="72">
        <f>0.001/1000</f>
        <v>9.9999999999999995E-7</v>
      </c>
      <c r="M36" s="248">
        <f t="shared" si="31"/>
        <v>0.73563121153121169</v>
      </c>
      <c r="N36" s="161">
        <f t="shared" si="32"/>
        <v>228.04567557467561</v>
      </c>
      <c r="O36" s="274">
        <f t="shared" ref="O36:O42" si="34">SUM(N36,K36,H36)</f>
        <v>328720.86549631844</v>
      </c>
    </row>
    <row r="37" spans="1:15">
      <c r="A37" s="252" t="s">
        <v>781</v>
      </c>
      <c r="B37" s="256" t="s">
        <v>856</v>
      </c>
      <c r="C37" s="257" t="s">
        <v>782</v>
      </c>
      <c r="D37" s="495">
        <f>'VDOT VMT Totals'!F$24*32.4/33.7</f>
        <v>19711548.774541732</v>
      </c>
      <c r="E37" s="547">
        <f>F37*'Transportation Fuel Information'!$R$31</f>
        <v>138792.52044669402</v>
      </c>
      <c r="F37" s="264">
        <f>$D37/'Vehicle Fuel Efficiency'!$U$8</f>
        <v>1154535.7937586326</v>
      </c>
      <c r="G37" s="72">
        <v>8.7799999999999994</v>
      </c>
      <c r="H37" s="268">
        <f t="shared" si="33"/>
        <v>10136824.269200794</v>
      </c>
      <c r="I37" s="72">
        <f>0.031/1000</f>
        <v>3.1000000000000001E-5</v>
      </c>
      <c r="J37" s="248">
        <f t="shared" si="29"/>
        <v>611.05801201079373</v>
      </c>
      <c r="K37" s="161">
        <f t="shared" si="30"/>
        <v>14665.392288259049</v>
      </c>
      <c r="L37" s="72">
        <f>0.043/1000</f>
        <v>4.2999999999999995E-5</v>
      </c>
      <c r="M37" s="248">
        <f t="shared" si="31"/>
        <v>847.59659730529438</v>
      </c>
      <c r="N37" s="161">
        <f t="shared" si="32"/>
        <v>262754.94516464125</v>
      </c>
      <c r="O37" s="274">
        <f t="shared" si="34"/>
        <v>10414244.606653694</v>
      </c>
    </row>
    <row r="38" spans="1:15">
      <c r="A38" s="252" t="s">
        <v>781</v>
      </c>
      <c r="B38" s="256" t="s">
        <v>857</v>
      </c>
      <c r="C38" s="257" t="s">
        <v>782</v>
      </c>
      <c r="D38" s="495">
        <f>'VDOT VMT Totals'!F$24*1.3/33.7</f>
        <v>790895.4755217362</v>
      </c>
      <c r="E38" s="547">
        <f>F38*'Transportation Fuel Information'!$R$32</f>
        <v>6157.1500782610265</v>
      </c>
      <c r="F38" s="264">
        <f>$D38/'Vehicle Fuel Efficiency'!$U$8</f>
        <v>46323.967033525383</v>
      </c>
      <c r="G38" s="72">
        <v>10.210000000000001</v>
      </c>
      <c r="H38" s="268">
        <f t="shared" si="33"/>
        <v>472967.70341229421</v>
      </c>
      <c r="I38" s="72">
        <f>0.001/1000</f>
        <v>9.9999999999999995E-7</v>
      </c>
      <c r="J38" s="248">
        <f t="shared" si="29"/>
        <v>0.79089547552173611</v>
      </c>
      <c r="K38" s="161">
        <f t="shared" si="30"/>
        <v>18.981491412521667</v>
      </c>
      <c r="L38" s="72">
        <f>0.001/1000</f>
        <v>9.9999999999999995E-7</v>
      </c>
      <c r="M38" s="248">
        <f t="shared" si="31"/>
        <v>0.79089547552173611</v>
      </c>
      <c r="N38" s="161">
        <f t="shared" si="32"/>
        <v>245.17759741173819</v>
      </c>
      <c r="O38" s="274">
        <f t="shared" si="34"/>
        <v>473231.86250111845</v>
      </c>
    </row>
    <row r="39" spans="1:15">
      <c r="A39" s="252" t="s">
        <v>853</v>
      </c>
      <c r="B39" s="256" t="s">
        <v>858</v>
      </c>
      <c r="C39" s="257" t="s">
        <v>782</v>
      </c>
      <c r="D39" s="495">
        <f>SUM('VDOT VMT Totals'!F$26:F$31)*0.292</f>
        <v>1497466.4542424516</v>
      </c>
      <c r="E39" s="547">
        <f>F39*'Transportation Fuel Information'!$R$31</f>
        <v>22961.470637341368</v>
      </c>
      <c r="F39" s="263">
        <f>D39/7.84</f>
        <v>191003.37426561883</v>
      </c>
      <c r="G39" s="72">
        <v>8.7799999999999994</v>
      </c>
      <c r="H39" s="268">
        <f t="shared" si="33"/>
        <v>1677009.6260521333</v>
      </c>
      <c r="I39" s="72">
        <f>0.033/1000</f>
        <v>3.3000000000000003E-5</v>
      </c>
      <c r="J39" s="248">
        <f t="shared" si="29"/>
        <v>49.416392990000908</v>
      </c>
      <c r="K39" s="161">
        <f t="shared" si="30"/>
        <v>1185.9934317600218</v>
      </c>
      <c r="L39" s="72">
        <f>0.0134/1000</f>
        <v>1.34E-5</v>
      </c>
      <c r="M39" s="248">
        <f t="shared" si="31"/>
        <v>20.066050486848852</v>
      </c>
      <c r="N39" s="161">
        <f t="shared" si="32"/>
        <v>6220.4756509231438</v>
      </c>
      <c r="O39" s="274">
        <f t="shared" si="34"/>
        <v>1684416.0951348164</v>
      </c>
    </row>
    <row r="40" spans="1:15">
      <c r="A40" s="252" t="s">
        <v>853</v>
      </c>
      <c r="B40" s="256" t="s">
        <v>859</v>
      </c>
      <c r="C40" s="257" t="s">
        <v>782</v>
      </c>
      <c r="D40" s="495">
        <f>SUM('VDOT VMT Totals'!F$26:F$31)*0.708</f>
        <v>3630843.3205604646</v>
      </c>
      <c r="E40" s="547">
        <f>F40*'Transportation Fuel Information'!$R$32</f>
        <v>66564.626200316445</v>
      </c>
      <c r="F40" s="263">
        <f>D40/7.25</f>
        <v>500805.97524971928</v>
      </c>
      <c r="G40" s="72">
        <v>10.210000000000001</v>
      </c>
      <c r="H40" s="268">
        <f t="shared" si="33"/>
        <v>5113229.0072996346</v>
      </c>
      <c r="I40" s="72">
        <f>0.0051/1000</f>
        <v>5.1000000000000003E-6</v>
      </c>
      <c r="J40" s="248">
        <f t="shared" si="29"/>
        <v>18.517300934858369</v>
      </c>
      <c r="K40" s="161">
        <f t="shared" si="30"/>
        <v>444.41522243660086</v>
      </c>
      <c r="L40" s="72">
        <f>0.0048/1000</f>
        <v>4.7999999999999998E-6</v>
      </c>
      <c r="M40" s="248">
        <f t="shared" si="31"/>
        <v>17.428047938690231</v>
      </c>
      <c r="N40" s="161">
        <f t="shared" si="32"/>
        <v>5402.6948609939718</v>
      </c>
      <c r="O40" s="274">
        <f t="shared" si="34"/>
        <v>5119076.1173830656</v>
      </c>
    </row>
    <row r="41" spans="1:15">
      <c r="A41" s="252" t="s">
        <v>853</v>
      </c>
      <c r="B41" s="256" t="s">
        <v>860</v>
      </c>
      <c r="C41" s="257" t="s">
        <v>782</v>
      </c>
      <c r="D41" s="495">
        <f>SUM('VDOT VMT Totals'!F$32:F$33,'VDOT VMT Totals'!F$25)*0.025</f>
        <v>27719.739193945628</v>
      </c>
      <c r="E41" s="547">
        <f>F41*'Transportation Fuel Information'!$R$31</f>
        <v>412.41688702972448</v>
      </c>
      <c r="F41" s="263">
        <f>D41/8.08</f>
        <v>3430.6607913299044</v>
      </c>
      <c r="G41" s="72">
        <v>8.7799999999999994</v>
      </c>
      <c r="H41" s="268">
        <f t="shared" si="33"/>
        <v>30121.201747876559</v>
      </c>
      <c r="I41" s="72">
        <f>0.033/1000</f>
        <v>3.3000000000000003E-5</v>
      </c>
      <c r="J41" s="248">
        <f t="shared" si="29"/>
        <v>0.91475139340020584</v>
      </c>
      <c r="K41" s="161">
        <f t="shared" si="30"/>
        <v>21.954033441604942</v>
      </c>
      <c r="L41" s="72">
        <f>0.034/1000</f>
        <v>3.4E-5</v>
      </c>
      <c r="M41" s="248">
        <f t="shared" si="31"/>
        <v>0.94247113259415138</v>
      </c>
      <c r="N41" s="161">
        <f t="shared" si="32"/>
        <v>292.16605110418692</v>
      </c>
      <c r="O41" s="274">
        <f t="shared" si="34"/>
        <v>30435.321832422353</v>
      </c>
    </row>
    <row r="42" spans="1:15">
      <c r="A42" s="253" t="s">
        <v>853</v>
      </c>
      <c r="B42" s="258" t="s">
        <v>861</v>
      </c>
      <c r="C42" s="259" t="s">
        <v>782</v>
      </c>
      <c r="D42" s="496">
        <f>SUM('VDOT VMT Totals'!F$32:F$33,'VDOT VMT Totals'!F$25)*0.975</f>
        <v>1081069.8285638795</v>
      </c>
      <c r="E42" s="545">
        <f>F42*'Transportation Fuel Information'!$R$32</f>
        <v>28795.670593901414</v>
      </c>
      <c r="F42" s="265">
        <f>D42/4.99</f>
        <v>216647.26023324238</v>
      </c>
      <c r="G42" s="217">
        <v>10.210000000000001</v>
      </c>
      <c r="H42" s="269">
        <f t="shared" si="33"/>
        <v>2211968.526981405</v>
      </c>
      <c r="I42" s="217">
        <f>0.0051/1000</f>
        <v>5.1000000000000003E-6</v>
      </c>
      <c r="J42" s="272">
        <f t="shared" si="29"/>
        <v>5.5134561256757859</v>
      </c>
      <c r="K42" s="162">
        <f t="shared" si="30"/>
        <v>132.32294701621885</v>
      </c>
      <c r="L42" s="217">
        <f>0.0048/1000</f>
        <v>4.7999999999999998E-6</v>
      </c>
      <c r="M42" s="272">
        <f t="shared" si="31"/>
        <v>5.1891351771066212</v>
      </c>
      <c r="N42" s="162">
        <f t="shared" si="32"/>
        <v>1608.6319049030526</v>
      </c>
      <c r="O42" s="275">
        <f t="shared" si="34"/>
        <v>2213709.4818333243</v>
      </c>
    </row>
    <row r="43" spans="1:15">
      <c r="C43" s="167" t="s">
        <v>863</v>
      </c>
      <c r="D43" s="479">
        <f>SUM(D35:D42)</f>
        <v>176072679.53346017</v>
      </c>
      <c r="E43" s="545">
        <f>SUM(E35:E42)</f>
        <v>1049204.2215972398</v>
      </c>
      <c r="F43" s="281"/>
      <c r="G43" s="485"/>
      <c r="H43" s="282">
        <f t="shared" ref="H43" si="35">SUM(H35:H42)</f>
        <v>77029401.871068209</v>
      </c>
      <c r="I43" s="281"/>
      <c r="J43" s="281">
        <f t="shared" ref="J43:K43" si="36">SUM(J35:J42)</f>
        <v>4847.6765725623154</v>
      </c>
      <c r="K43" s="281">
        <f t="shared" si="36"/>
        <v>116344.23774149558</v>
      </c>
      <c r="L43" s="485"/>
      <c r="M43" s="281">
        <f t="shared" ref="M43:O43" si="37">SUM(M35:M42)</f>
        <v>5202.0764658774251</v>
      </c>
      <c r="N43" s="282">
        <f t="shared" si="37"/>
        <v>1612643.7044220015</v>
      </c>
      <c r="O43" s="282">
        <f t="shared" si="37"/>
        <v>78758389.813231692</v>
      </c>
    </row>
    <row r="44" spans="1:15" s="697" customFormat="1">
      <c r="A44" s="185" t="s">
        <v>2061</v>
      </c>
      <c r="C44" s="627"/>
      <c r="D44" s="628"/>
      <c r="E44" s="628"/>
      <c r="F44" s="628"/>
      <c r="G44" s="628"/>
      <c r="H44" s="628"/>
      <c r="I44" s="628"/>
      <c r="J44" s="628"/>
      <c r="K44" s="628"/>
      <c r="L44" s="628"/>
      <c r="M44" s="628"/>
      <c r="N44" s="628"/>
      <c r="O44" s="628"/>
    </row>
    <row r="45" spans="1:15" s="697" customFormat="1" ht="18">
      <c r="B45" s="2"/>
      <c r="D45" s="150"/>
      <c r="E45" s="698"/>
      <c r="F45" s="698"/>
      <c r="G45" s="1038" t="s">
        <v>774</v>
      </c>
      <c r="H45" s="1039"/>
      <c r="I45" s="1038" t="s">
        <v>775</v>
      </c>
      <c r="J45" s="1040"/>
      <c r="K45" s="1039"/>
      <c r="L45" s="1038" t="s">
        <v>776</v>
      </c>
      <c r="M45" s="1040"/>
      <c r="N45" s="1039"/>
    </row>
    <row r="46" spans="1:15" s="697" customFormat="1" ht="30">
      <c r="A46" s="792" t="s">
        <v>58</v>
      </c>
      <c r="B46" s="793" t="s">
        <v>2065</v>
      </c>
      <c r="C46" s="794" t="s">
        <v>54</v>
      </c>
      <c r="D46" s="480" t="s">
        <v>2067</v>
      </c>
      <c r="E46" s="1049" t="s">
        <v>696</v>
      </c>
      <c r="F46" s="1050"/>
      <c r="G46" s="657" t="s">
        <v>777</v>
      </c>
      <c r="H46" s="656" t="s">
        <v>778</v>
      </c>
      <c r="I46" s="169" t="s">
        <v>777</v>
      </c>
      <c r="J46" s="168" t="s">
        <v>778</v>
      </c>
      <c r="K46" s="658" t="s">
        <v>780</v>
      </c>
      <c r="L46" s="657" t="s">
        <v>777</v>
      </c>
      <c r="M46" s="168" t="s">
        <v>778</v>
      </c>
      <c r="N46" s="658" t="s">
        <v>780</v>
      </c>
      <c r="O46" s="172" t="s">
        <v>779</v>
      </c>
    </row>
    <row r="47" spans="1:15" s="697" customFormat="1">
      <c r="A47" s="630" t="s">
        <v>2074</v>
      </c>
      <c r="B47" s="795" t="s">
        <v>2073</v>
      </c>
      <c r="C47" s="632" t="s">
        <v>2063</v>
      </c>
      <c r="D47" s="175">
        <f>'Wastewater Data'!I$7</f>
        <v>947613034</v>
      </c>
      <c r="E47" s="1029"/>
      <c r="F47" s="1030"/>
      <c r="G47" s="249"/>
      <c r="H47" s="178"/>
      <c r="I47" s="176"/>
      <c r="J47" s="155">
        <f>D47/36525*1.25*0.09*(1-0.325)*0.6*0.8*365.25</f>
        <v>345404.950893</v>
      </c>
      <c r="K47" s="161">
        <f>J47*24</f>
        <v>8289718.821432</v>
      </c>
      <c r="L47" s="176"/>
      <c r="M47" s="155"/>
      <c r="N47" s="161"/>
      <c r="O47" s="183">
        <f t="shared" ref="O47:O49" si="38">SUM(H47,K47,N47)</f>
        <v>8289718.821432</v>
      </c>
    </row>
    <row r="48" spans="1:15" s="697" customFormat="1">
      <c r="A48" s="165" t="s">
        <v>2069</v>
      </c>
      <c r="B48" s="153" t="s">
        <v>2070</v>
      </c>
      <c r="C48" s="156" t="s">
        <v>2063</v>
      </c>
      <c r="D48" s="175">
        <f>'Wastewater Data'!I$7</f>
        <v>947613034</v>
      </c>
      <c r="E48" s="1031"/>
      <c r="F48" s="1032"/>
      <c r="G48" s="249"/>
      <c r="H48" s="178"/>
      <c r="I48" s="176"/>
      <c r="J48" s="155"/>
      <c r="K48" s="161"/>
      <c r="L48" s="176"/>
      <c r="M48" s="155">
        <f>D48/36500*1.25*7/1000</f>
        <v>227.16750815068494</v>
      </c>
      <c r="N48" s="161">
        <f>M48*310</f>
        <v>70421.92752671233</v>
      </c>
      <c r="O48" s="183">
        <f t="shared" si="38"/>
        <v>70421.92752671233</v>
      </c>
    </row>
    <row r="49" spans="1:15" s="697" customFormat="1">
      <c r="A49" s="165" t="s">
        <v>2075</v>
      </c>
      <c r="B49" s="153" t="s">
        <v>2076</v>
      </c>
      <c r="C49" s="156" t="s">
        <v>2063</v>
      </c>
      <c r="D49" s="175">
        <f>'Wastewater Data'!I$7</f>
        <v>947613034</v>
      </c>
      <c r="E49" s="1031"/>
      <c r="F49" s="1032"/>
      <c r="G49" s="249"/>
      <c r="H49" s="178"/>
      <c r="I49" s="176"/>
      <c r="J49" s="155"/>
      <c r="K49" s="161"/>
      <c r="L49" s="176"/>
      <c r="M49" s="155">
        <f>D49/36525*1.25*0.026*0.005*0.005*44/28*(1-0.07)*365.25</f>
        <v>11.25205869568393</v>
      </c>
      <c r="N49" s="161">
        <f>M49*310</f>
        <v>3488.1381956620185</v>
      </c>
      <c r="O49" s="183">
        <f t="shared" si="38"/>
        <v>3488.1381956620185</v>
      </c>
    </row>
    <row r="50" spans="1:15" s="697" customFormat="1">
      <c r="A50" s="166" t="s">
        <v>2068</v>
      </c>
      <c r="B50" s="158" t="s">
        <v>2071</v>
      </c>
      <c r="C50" s="160" t="s">
        <v>2063</v>
      </c>
      <c r="D50" s="175">
        <f>'Wastewater Data'!I$7</f>
        <v>947613034</v>
      </c>
      <c r="E50" s="1033">
        <f>(D50*2000+D50*280)/1000000*3412.14/1000000</f>
        <v>7372.1254102586927</v>
      </c>
      <c r="F50" s="1034"/>
      <c r="G50" s="249">
        <f>'APCO Emission Factors'!I$4*0.454/3412.12*1000</f>
        <v>211.82373421802285</v>
      </c>
      <c r="H50" s="178">
        <f>G50*E50</f>
        <v>1561591.1335245699</v>
      </c>
      <c r="I50" s="176">
        <f>18.12*0.454/3412.12</f>
        <v>2.4109585829337776E-3</v>
      </c>
      <c r="J50" s="155">
        <f>I50*E50</f>
        <v>17.773889032327393</v>
      </c>
      <c r="K50" s="161">
        <f>J50*24</f>
        <v>426.57333677585746</v>
      </c>
      <c r="L50" s="176">
        <f>25.13*0.454/3412.12</f>
        <v>3.3436749000621316E-3</v>
      </c>
      <c r="M50" s="155">
        <f>L50*E50</f>
        <v>24.649990694392237</v>
      </c>
      <c r="N50" s="161">
        <f t="shared" ref="N50" si="39">M50*310</f>
        <v>7641.4971152615935</v>
      </c>
      <c r="O50" s="183">
        <f>SUM(H50,K50,N50)</f>
        <v>1569659.2039766074</v>
      </c>
    </row>
    <row r="51" spans="1:15" s="697" customFormat="1">
      <c r="C51" s="629" t="s">
        <v>863</v>
      </c>
      <c r="D51" s="479"/>
      <c r="E51" s="1033">
        <f>SUM(E50:E50)</f>
        <v>7372.1254102586927</v>
      </c>
      <c r="F51" s="1034"/>
      <c r="G51" s="653"/>
      <c r="H51" s="654">
        <f>SUM(H50:H50)</f>
        <v>1561591.1335245699</v>
      </c>
      <c r="I51" s="653"/>
      <c r="J51" s="281">
        <f>SUM(J50:J50)</f>
        <v>17.773889032327393</v>
      </c>
      <c r="K51" s="654">
        <f>SUM(K50:K50)</f>
        <v>426.57333677585746</v>
      </c>
      <c r="L51" s="653"/>
      <c r="M51" s="281">
        <f>SUM(M50:M50)</f>
        <v>24.649990694392237</v>
      </c>
      <c r="N51" s="654">
        <f>SUM(N50:N50)</f>
        <v>7641.4971152615935</v>
      </c>
      <c r="O51" s="654">
        <f>SUM(O47:O50)</f>
        <v>9933288.0911309812</v>
      </c>
    </row>
    <row r="52" spans="1:15" s="697" customFormat="1">
      <c r="A52" s="185" t="s">
        <v>2247</v>
      </c>
      <c r="C52" s="627"/>
      <c r="D52" s="628"/>
      <c r="E52" s="628"/>
      <c r="F52" s="628"/>
      <c r="G52" s="628"/>
      <c r="H52" s="628"/>
      <c r="I52" s="628"/>
      <c r="J52" s="628"/>
      <c r="K52" s="628"/>
      <c r="L52" s="628"/>
      <c r="M52" s="628"/>
      <c r="N52" s="628"/>
      <c r="O52" s="628"/>
    </row>
    <row r="53" spans="1:15" s="697" customFormat="1" ht="18">
      <c r="B53" s="2"/>
      <c r="D53" s="150"/>
      <c r="E53" s="698"/>
      <c r="F53" s="698"/>
      <c r="G53" s="1038" t="s">
        <v>774</v>
      </c>
      <c r="H53" s="1039"/>
      <c r="I53" s="1038" t="s">
        <v>775</v>
      </c>
      <c r="J53" s="1040"/>
      <c r="K53" s="1039"/>
      <c r="L53" s="1038" t="s">
        <v>776</v>
      </c>
      <c r="M53" s="1040"/>
      <c r="N53" s="1039"/>
    </row>
    <row r="54" spans="1:15" s="697" customFormat="1" ht="32.25" customHeight="1">
      <c r="A54" s="172" t="s">
        <v>58</v>
      </c>
      <c r="B54" s="655" t="s">
        <v>2065</v>
      </c>
      <c r="C54" s="168" t="s">
        <v>54</v>
      </c>
      <c r="D54" s="480" t="s">
        <v>2244</v>
      </c>
      <c r="E54" s="1027" t="s">
        <v>696</v>
      </c>
      <c r="F54" s="1028"/>
      <c r="G54" s="49" t="s">
        <v>777</v>
      </c>
      <c r="H54" s="873" t="s">
        <v>778</v>
      </c>
      <c r="I54" s="49" t="s">
        <v>777</v>
      </c>
      <c r="J54" s="873" t="s">
        <v>778</v>
      </c>
      <c r="K54" s="873" t="s">
        <v>780</v>
      </c>
      <c r="L54" s="49" t="s">
        <v>777</v>
      </c>
      <c r="M54" s="794" t="s">
        <v>778</v>
      </c>
      <c r="N54" s="873" t="s">
        <v>780</v>
      </c>
      <c r="O54" s="172" t="s">
        <v>779</v>
      </c>
    </row>
    <row r="55" spans="1:15" s="697" customFormat="1">
      <c r="A55" s="630" t="s">
        <v>2170</v>
      </c>
      <c r="B55" s="631" t="s">
        <v>2171</v>
      </c>
      <c r="C55" s="632" t="s">
        <v>2077</v>
      </c>
      <c r="D55" s="490">
        <f>'Solid Waste Calculations'!C$13</f>
        <v>19250.551857952858</v>
      </c>
      <c r="E55" s="1029"/>
      <c r="F55" s="1030"/>
      <c r="G55" s="497"/>
      <c r="H55" s="498">
        <f>G55*E55</f>
        <v>0</v>
      </c>
      <c r="I55" s="874"/>
      <c r="J55" s="875">
        <f>(1-0.75)*(1-0.1)*D55*0.06</f>
        <v>259.88245008236356</v>
      </c>
      <c r="K55" s="271">
        <f>J55*24</f>
        <v>6237.1788019767255</v>
      </c>
      <c r="L55" s="874"/>
      <c r="M55" s="875"/>
      <c r="N55" s="271"/>
      <c r="O55" s="183">
        <f>SUM(H55,K55,N55)</f>
        <v>6237.1788019767255</v>
      </c>
    </row>
    <row r="56" spans="1:15" s="697" customFormat="1">
      <c r="A56" s="165" t="s">
        <v>2074</v>
      </c>
      <c r="B56" s="152" t="s">
        <v>2245</v>
      </c>
      <c r="C56" s="156" t="s">
        <v>2077</v>
      </c>
      <c r="D56" s="490">
        <f>'Solid Waste Calculations'!C$13</f>
        <v>19250.551857952858</v>
      </c>
      <c r="E56" s="1031"/>
      <c r="F56" s="1032"/>
      <c r="G56" s="492"/>
      <c r="H56" s="178">
        <f>D56*0.0164*1000</f>
        <v>315709.05047042691</v>
      </c>
      <c r="I56" s="876"/>
      <c r="J56" s="155"/>
      <c r="K56" s="161"/>
      <c r="L56" s="876"/>
      <c r="M56" s="155"/>
      <c r="N56" s="161"/>
      <c r="O56" s="183">
        <f t="shared" ref="O56:O57" si="40">SUM(H56,K56,N56)</f>
        <v>315709.05047042691</v>
      </c>
    </row>
    <row r="57" spans="1:15" s="697" customFormat="1">
      <c r="A57" s="166" t="s">
        <v>2069</v>
      </c>
      <c r="B57" s="157" t="s">
        <v>2246</v>
      </c>
      <c r="C57" s="160" t="s">
        <v>2077</v>
      </c>
      <c r="D57" s="490">
        <f>'Solid Waste Calculations'!C$13</f>
        <v>19250.551857952858</v>
      </c>
      <c r="E57" s="1033"/>
      <c r="F57" s="1034"/>
      <c r="G57" s="493"/>
      <c r="H57" s="179">
        <f>D57*4*0.00014*1000</f>
        <v>10780.3090404536</v>
      </c>
      <c r="I57" s="877"/>
      <c r="J57" s="159"/>
      <c r="K57" s="162"/>
      <c r="L57" s="877"/>
      <c r="M57" s="159"/>
      <c r="N57" s="162"/>
      <c r="O57" s="183">
        <f t="shared" si="40"/>
        <v>10780.3090404536</v>
      </c>
    </row>
    <row r="58" spans="1:15" s="697" customFormat="1">
      <c r="C58" s="629" t="s">
        <v>863</v>
      </c>
      <c r="D58" s="479"/>
      <c r="E58" s="1025">
        <f>SUM(E55:E57)</f>
        <v>0</v>
      </c>
      <c r="F58" s="1026"/>
      <c r="G58" s="653"/>
      <c r="H58" s="654">
        <f>SUM(H55:H57)</f>
        <v>326489.35951088049</v>
      </c>
      <c r="I58" s="653"/>
      <c r="J58" s="281">
        <f>SUM(J55:J57)</f>
        <v>259.88245008236356</v>
      </c>
      <c r="K58" s="654">
        <f>SUM(K55:K57)</f>
        <v>6237.1788019767255</v>
      </c>
      <c r="L58" s="653"/>
      <c r="M58" s="281"/>
      <c r="N58" s="654"/>
      <c r="O58" s="654">
        <f>SUM(O55:O57)</f>
        <v>332726.53831285721</v>
      </c>
    </row>
    <row r="59" spans="1:15" ht="15.75" thickBot="1">
      <c r="F59"/>
    </row>
    <row r="60" spans="1:15" ht="15.75" thickBot="1">
      <c r="C60" s="276"/>
      <c r="E60" s="150"/>
      <c r="F60" s="247"/>
      <c r="G60" s="277" t="s">
        <v>864</v>
      </c>
      <c r="H60" s="278">
        <f>SUM(H43,H31,H17,H10)</f>
        <v>335566589.77808893</v>
      </c>
      <c r="I60" s="279"/>
      <c r="J60" s="278">
        <f>SUM(J43,J31,J17,J10)</f>
        <v>10839.496229253631</v>
      </c>
      <c r="K60" s="278">
        <f>SUM(K43,K31,K17,K10)</f>
        <v>260147.90950208716</v>
      </c>
      <c r="L60" s="279"/>
      <c r="M60" s="278">
        <f>SUM(M43,M31,M17,M10)</f>
        <v>8469.6523821752944</v>
      </c>
      <c r="N60" s="278">
        <f>SUM(N43,N31,N17,N10)</f>
        <v>2625592.238474342</v>
      </c>
      <c r="O60" s="280">
        <f>SUM(O43,O31,O17,O10)</f>
        <v>338452329.92606533</v>
      </c>
    </row>
    <row r="61" spans="1:15" s="697" customFormat="1">
      <c r="C61" s="276"/>
      <c r="D61" s="150"/>
      <c r="E61" s="150"/>
      <c r="F61" s="247"/>
      <c r="G61" s="751"/>
      <c r="H61" s="719"/>
      <c r="I61" s="751"/>
      <c r="J61" s="719"/>
      <c r="K61" s="719"/>
      <c r="L61" s="751"/>
      <c r="M61" s="719"/>
      <c r="N61" s="719"/>
      <c r="O61" s="719"/>
    </row>
    <row r="62" spans="1:15" ht="30">
      <c r="A62" s="878" t="s">
        <v>868</v>
      </c>
      <c r="B62" s="1015" t="s">
        <v>970</v>
      </c>
      <c r="C62" s="985" t="s">
        <v>2530</v>
      </c>
    </row>
    <row r="63" spans="1:15">
      <c r="A63" s="56" t="s">
        <v>55</v>
      </c>
      <c r="B63" s="1016">
        <f>SUM(E6,E14:F16,E21,E27)</f>
        <v>844089.06158209266</v>
      </c>
      <c r="C63" s="273">
        <f>SUM(O6,O14,O15,O16,O21,O27)</f>
        <v>133427440.3472971</v>
      </c>
    </row>
    <row r="64" spans="1:15">
      <c r="A64" s="879" t="s">
        <v>56</v>
      </c>
      <c r="B64" s="1017">
        <f>SUM(E7,E22,E28)</f>
        <v>464339.93809494353</v>
      </c>
      <c r="C64" s="274">
        <f>SUM(O22,O28,O7)</f>
        <v>71525823.776688173</v>
      </c>
    </row>
    <row r="65" spans="1:3">
      <c r="A65" s="879" t="s">
        <v>57</v>
      </c>
      <c r="B65" s="1017">
        <f>SUM(E8,E23,E29)</f>
        <v>384359.68515904847</v>
      </c>
      <c r="C65" s="274">
        <f>SUM(O8,O23,O29)</f>
        <v>39322970.433456093</v>
      </c>
    </row>
    <row r="66" spans="1:3">
      <c r="A66" s="879" t="s">
        <v>2267</v>
      </c>
      <c r="B66" s="1017">
        <f>SUM(E9,E25,E30)</f>
        <v>97158.733359881197</v>
      </c>
      <c r="C66" s="274">
        <f>SUM(O9,O25,O30)</f>
        <v>15417705.555392269</v>
      </c>
    </row>
    <row r="67" spans="1:3">
      <c r="A67" s="879" t="s">
        <v>782</v>
      </c>
      <c r="B67" s="1017">
        <f>SUM(E35:E42)</f>
        <v>1049204.2215972398</v>
      </c>
      <c r="C67" s="274">
        <f>SUM(O35:O42)</f>
        <v>78758389.813231692</v>
      </c>
    </row>
    <row r="68" spans="1:3">
      <c r="A68" s="880" t="s">
        <v>2248</v>
      </c>
      <c r="B68" s="1018">
        <f>SUM(E50)</f>
        <v>7372.1254102586927</v>
      </c>
      <c r="C68" s="274">
        <f>O51</f>
        <v>9933288.0911309812</v>
      </c>
    </row>
    <row r="69" spans="1:3">
      <c r="A69" s="881" t="s">
        <v>2077</v>
      </c>
      <c r="B69" s="881"/>
      <c r="C69" s="275">
        <f>O58</f>
        <v>332726.53831285721</v>
      </c>
    </row>
    <row r="70" spans="1:3">
      <c r="A70" s="697"/>
      <c r="B70" s="697"/>
      <c r="C70" s="697"/>
    </row>
    <row r="71" spans="1:3" ht="30">
      <c r="A71" s="1021" t="s">
        <v>2101</v>
      </c>
      <c r="B71" s="942" t="s">
        <v>970</v>
      </c>
      <c r="C71" s="986" t="s">
        <v>2530</v>
      </c>
    </row>
    <row r="72" spans="1:3">
      <c r="A72" s="1019" t="s">
        <v>2</v>
      </c>
      <c r="B72" s="274">
        <f>SUM(E6:F9)</f>
        <v>813026.96597116464</v>
      </c>
      <c r="C72" s="1022">
        <f>SUM(O6:O9)</f>
        <v>43107650.736941926</v>
      </c>
    </row>
    <row r="73" spans="1:3">
      <c r="A73" s="1019" t="s">
        <v>2531</v>
      </c>
      <c r="B73" s="274">
        <f>SUM(E14:F16)</f>
        <v>33545.4</v>
      </c>
      <c r="C73" s="1022">
        <f>SUM(O14:O16)</f>
        <v>2544939.8542318833</v>
      </c>
    </row>
    <row r="74" spans="1:3">
      <c r="A74" s="1019" t="s">
        <v>588</v>
      </c>
      <c r="B74" s="274">
        <f>SUM(E21:F23,E25:F30,E50)</f>
        <v>950747.17763505992</v>
      </c>
      <c r="C74" s="1022">
        <f>SUM(O31,O50)</f>
        <v>215611008.72563642</v>
      </c>
    </row>
    <row r="75" spans="1:3">
      <c r="A75" s="1020" t="s">
        <v>2532</v>
      </c>
      <c r="B75" s="275">
        <f>SUM(E35:E42)</f>
        <v>1049204.2215972398</v>
      </c>
      <c r="C75" s="890">
        <f>SUM(O35:O42)</f>
        <v>78758389.813231692</v>
      </c>
    </row>
  </sheetData>
  <mergeCells count="51">
    <mergeCell ref="L45:N45"/>
    <mergeCell ref="E55:F55"/>
    <mergeCell ref="E56:F56"/>
    <mergeCell ref="E57:F57"/>
    <mergeCell ref="L53:N53"/>
    <mergeCell ref="E58:F58"/>
    <mergeCell ref="G45:H45"/>
    <mergeCell ref="E51:F51"/>
    <mergeCell ref="G53:H53"/>
    <mergeCell ref="I53:K53"/>
    <mergeCell ref="E54:F54"/>
    <mergeCell ref="E46:F46"/>
    <mergeCell ref="E47:F47"/>
    <mergeCell ref="E48:F48"/>
    <mergeCell ref="E49:F49"/>
    <mergeCell ref="E50:F50"/>
    <mergeCell ref="I45:K45"/>
    <mergeCell ref="E30:F30"/>
    <mergeCell ref="E31:F31"/>
    <mergeCell ref="E24:F24"/>
    <mergeCell ref="E25:F25"/>
    <mergeCell ref="E27:F27"/>
    <mergeCell ref="E28:F28"/>
    <mergeCell ref="E29:F29"/>
    <mergeCell ref="E17:F17"/>
    <mergeCell ref="E20:F20"/>
    <mergeCell ref="E21:F21"/>
    <mergeCell ref="E22:F22"/>
    <mergeCell ref="E23:F23"/>
    <mergeCell ref="E10:F10"/>
    <mergeCell ref="E13:F13"/>
    <mergeCell ref="E14:F14"/>
    <mergeCell ref="E15:F15"/>
    <mergeCell ref="E16:F16"/>
    <mergeCell ref="E5:F5"/>
    <mergeCell ref="E6:F6"/>
    <mergeCell ref="E7:F7"/>
    <mergeCell ref="E8:F8"/>
    <mergeCell ref="E9:F9"/>
    <mergeCell ref="G4:H4"/>
    <mergeCell ref="I4:K4"/>
    <mergeCell ref="L4:N4"/>
    <mergeCell ref="G12:H12"/>
    <mergeCell ref="I12:K12"/>
    <mergeCell ref="L12:N12"/>
    <mergeCell ref="G19:H19"/>
    <mergeCell ref="I19:K19"/>
    <mergeCell ref="L19:N19"/>
    <mergeCell ref="G33:H33"/>
    <mergeCell ref="I33:K33"/>
    <mergeCell ref="L33:N33"/>
  </mergeCells>
  <hyperlinks>
    <hyperlink ref="G5" location="'Default Emissions Factors'!A1" tooltip="Default Emissions Factors" display="CO2 Emission Coefficient"/>
    <hyperlink ref="E13" location="'BE.1.2 Calculations'!A1" tooltip="BE.1.2 Calculations" display="Energy Quantity (MMBtu)"/>
    <hyperlink ref="D20" location="'2006 - 2009 APCO Billed kWh''s'!A1" tooltip="APCO Billed kWh's" display="Quantity (kWh)"/>
    <hyperlink ref="I5" location="'Default Emissions Factors'!A1" tooltip="Default Emissions Factors" display="Coefficient (kg/MMBtu)"/>
    <hyperlink ref="L5" location="'Default Emissions Factors'!A1" tooltip="Default Emissions Factors" display="CO2 Emission Coefficient"/>
    <hyperlink ref="G13" location="'Default Emissions Factors'!A1" tooltip="Default Emissions Factors" display="CO2 Emission Coefficient"/>
    <hyperlink ref="I13" location="'Default Emissions Factors'!A1" tooltip="Default Emissions Factors" display="CO2 Emission Coefficient"/>
    <hyperlink ref="G20" location="'APCO Emission Factors'!A1" tooltip="APCO Emission Factors" display="Coefficient (kg/MMBtu)"/>
    <hyperlink ref="I20" location="'Default Emissions Factors'!A1" tooltip="Default Emissions Factors" display="Coefficient (kg/MMBtu)"/>
    <hyperlink ref="L13" location="'Default Emissions Factors'!A1" tooltip="Default Emissions Factors" display="CO2 Emission Coefficient"/>
    <hyperlink ref="L20" location="'Default Emissions Factors'!A1" tooltip="Default Emissions Factors" display="CO2 Emission Coefficient"/>
    <hyperlink ref="K5" location="'Global Warming Potentials'!A1" tooltip="Global Warming Potentials" display="CO2 Equivalent (kg)"/>
    <hyperlink ref="K13" location="'Global Warming Potentials'!A1" tooltip="Global Warming Potentials" display="CO2 Equivalent (kg)"/>
    <hyperlink ref="K20" location="'Global Warming Potentials'!A1" tooltip="Global Warming Potentials" display="CO2 Equivalent (kg)"/>
    <hyperlink ref="N20" location="'Global Warming Potentials'!A1" tooltip="Global Warming Potentials" display="CO2 Equivalent (kg)"/>
    <hyperlink ref="N13" location="'Global Warming Potentials'!A1" tooltip="Global Warming Potentials" display="CO2 Equivalent (kg)"/>
    <hyperlink ref="N5" location="'Global Warming Potentials'!A1" tooltip="Global Warming Potentials" display="CO2 Equivalent (kg)"/>
    <hyperlink ref="D34" location="'VDOT VMT Totals'!A1" tooltip="VDOT VMT Totals" display="Quantity (VMT)"/>
    <hyperlink ref="G34" location="'Vehicle Emission Factors'!A1" tooltip="Vehicle Emission Factors" display="Coefficient (kg/gallon)"/>
    <hyperlink ref="I34" location="'Vehicle Emission Factors'!A1" tooltip="Vehicle Emission Factors" display="Coefficient (kg/VMT)"/>
    <hyperlink ref="L34" location="'Vehicle Emission Factors'!A1" tooltip="Vehicle Emission Factors" display="Coefficient (kg/MMBtu)"/>
    <hyperlink ref="K34" location="'Global Warming Potentials'!A1" tooltip="Global Warming Potentials" display="CO2 Equivalent (kg)"/>
    <hyperlink ref="N34" location="'Global Warming Potentials'!A1" tooltip="Global Warming Potentials" display="CO2 Equivalent (kg)"/>
    <hyperlink ref="F34" location="'Vehicle Fuel Efficiency'!A1" tooltip="Vehicle Fuel Efficiency" display="Energy Quantity (Gallons)"/>
    <hyperlink ref="E34" location="'Transportation Fuel Information'!A1" tooltip="Transportation Fuel Information" display="Energy Quantity (MMBtu)"/>
    <hyperlink ref="D5" location="'ATMOS NG Calculations'!A1" tooltip="ATMOS NG Calculations" display="Quantity (Mcf)"/>
    <hyperlink ref="E5" location="'Natural Gas Energy Content'!A1" tooltip="Natural Gas Energy Content" display="Energy Quantity (MMBtu)"/>
    <hyperlink ref="G46" location="'APCO Emission Factors'!A1" tooltip="APCO Emission Factors" display="Coefficient (kg/MMBtu)"/>
    <hyperlink ref="L46" location="'Default Emissions Factors'!A1" tooltip="Default Emissions Factors" display="CO2 Emission Coefficient"/>
    <hyperlink ref="D46" location="'Wastewater Data'!A1" tooltip="Wastewater Data" display="Quantity (Gal)"/>
    <hyperlink ref="N46" location="'Global Warming Potentials'!A1" tooltip="Global Warming Potentials" display="CO2 Equivalent (kg)"/>
    <hyperlink ref="K46" location="'Global Warming Potentials'!A1" tooltip="Global Warming Potentials" display="CO2 Equivalent (kg)"/>
    <hyperlink ref="I46" location="'Default Emissions Factors'!A1" tooltip="Default Emissions Factors" display="Coefficient (kg/MMBtu)"/>
    <hyperlink ref="D54" location="'Solid Waste Calculations'!A1" tooltip="Solid Waste Calculations" display="Quantity (Gal)"/>
    <hyperlink ref="N54" location="'Global Warming Potentials'!A1" tooltip="Global Warming Potentials" display="CO2 Equivalent (kg)"/>
    <hyperlink ref="K54" location="'Global Warming Potentials'!A1" tooltip="Global Warming Potentials" display="CO2 Equivalent (kg)"/>
    <hyperlink ref="H54" location="'Solid Waste Coefficients'!A1" tooltip="Solid Waste Coefficients" display="Quantity (kg)"/>
    <hyperlink ref="J54" location="'Solid Waste Coefficients'!A1" tooltip="Solid Waste Coefficients" display="Quantity (kg)"/>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dimension ref="A1:AD75"/>
  <sheetViews>
    <sheetView tabSelected="1" topLeftCell="A16" workbookViewId="0">
      <selection activeCell="E28" sqref="E28:F28"/>
    </sheetView>
  </sheetViews>
  <sheetFormatPr defaultRowHeight="15"/>
  <cols>
    <col min="1" max="1" width="21.7109375" customWidth="1"/>
    <col min="2" max="2" width="26.140625" bestFit="1" customWidth="1"/>
    <col min="3" max="3" width="18.140625" customWidth="1"/>
    <col min="4" max="4" width="14.7109375" style="150" bestFit="1" customWidth="1"/>
    <col min="5" max="5" width="10" style="55" bestFit="1" customWidth="1"/>
    <col min="6" max="6" width="10.5703125" style="698" bestFit="1" customWidth="1"/>
    <col min="7" max="7" width="12" bestFit="1" customWidth="1"/>
    <col min="8" max="8" width="18" bestFit="1" customWidth="1"/>
    <col min="9" max="10" width="12.5703125" bestFit="1" customWidth="1"/>
    <col min="11" max="11" width="14.7109375" customWidth="1"/>
    <col min="12" max="12" width="11.85546875" bestFit="1" customWidth="1"/>
    <col min="13" max="13" width="11.5703125" customWidth="1"/>
    <col min="14" max="14" width="14.5703125" bestFit="1" customWidth="1"/>
    <col min="15" max="15" width="19.7109375" bestFit="1" customWidth="1"/>
    <col min="16" max="16" width="4.5703125" customWidth="1"/>
    <col min="17" max="17" width="13.85546875" customWidth="1"/>
  </cols>
  <sheetData>
    <row r="1" spans="1:30">
      <c r="A1" s="1" t="s">
        <v>874</v>
      </c>
      <c r="B1" s="1"/>
      <c r="C1" s="150"/>
      <c r="D1" s="55"/>
      <c r="E1"/>
      <c r="F1" s="697"/>
      <c r="AD1" t="s">
        <v>2</v>
      </c>
    </row>
    <row r="2" spans="1:30">
      <c r="C2" s="150"/>
      <c r="D2" s="55"/>
      <c r="E2"/>
      <c r="F2" s="697"/>
      <c r="AD2" t="s">
        <v>866</v>
      </c>
    </row>
    <row r="3" spans="1:30">
      <c r="A3" s="2" t="s">
        <v>693</v>
      </c>
      <c r="B3" s="2"/>
      <c r="C3" s="150"/>
      <c r="D3" s="55"/>
      <c r="E3"/>
      <c r="F3" s="697"/>
      <c r="AD3" t="s">
        <v>588</v>
      </c>
    </row>
    <row r="4" spans="1:30" ht="17.25" customHeight="1">
      <c r="B4" s="2"/>
      <c r="C4" s="2"/>
      <c r="G4" s="1035" t="s">
        <v>774</v>
      </c>
      <c r="H4" s="1037"/>
      <c r="I4" s="1035" t="s">
        <v>775</v>
      </c>
      <c r="J4" s="1037"/>
      <c r="K4" s="1036"/>
      <c r="L4" s="1035" t="s">
        <v>776</v>
      </c>
      <c r="M4" s="1037"/>
      <c r="N4" s="1036"/>
      <c r="AD4" t="s">
        <v>867</v>
      </c>
    </row>
    <row r="5" spans="1:30" s="151" customFormat="1" ht="33" customHeight="1">
      <c r="A5" s="172" t="s">
        <v>58</v>
      </c>
      <c r="B5" s="167" t="s">
        <v>1</v>
      </c>
      <c r="C5" s="168" t="s">
        <v>54</v>
      </c>
      <c r="D5" s="480" t="s">
        <v>695</v>
      </c>
      <c r="E5" s="1054" t="s">
        <v>696</v>
      </c>
      <c r="F5" s="1055"/>
      <c r="G5" s="170" t="s">
        <v>777</v>
      </c>
      <c r="H5" s="168" t="s">
        <v>778</v>
      </c>
      <c r="I5" s="170" t="s">
        <v>777</v>
      </c>
      <c r="J5" s="168" t="s">
        <v>778</v>
      </c>
      <c r="K5" s="174" t="s">
        <v>780</v>
      </c>
      <c r="L5" s="170" t="s">
        <v>777</v>
      </c>
      <c r="M5" s="168" t="s">
        <v>778</v>
      </c>
      <c r="N5" s="174" t="s">
        <v>780</v>
      </c>
      <c r="O5" s="172" t="s">
        <v>779</v>
      </c>
      <c r="S5" s="697"/>
      <c r="AD5" s="150" t="s">
        <v>2248</v>
      </c>
    </row>
    <row r="6" spans="1:30" s="150" customFormat="1" ht="30">
      <c r="A6" s="165" t="s">
        <v>59</v>
      </c>
      <c r="B6" s="152" t="s">
        <v>773</v>
      </c>
      <c r="C6" s="153" t="s">
        <v>55</v>
      </c>
      <c r="D6" s="260">
        <f>'ATMOS NG Calculations'!C13</f>
        <v>283570.80999574502</v>
      </c>
      <c r="E6" s="1043">
        <f>1.028*D6</f>
        <v>291510.79267562588</v>
      </c>
      <c r="F6" s="1044"/>
      <c r="G6" s="153">
        <v>52.91</v>
      </c>
      <c r="H6" s="155">
        <f>G6*E6</f>
        <v>15423836.040467365</v>
      </c>
      <c r="I6" s="152">
        <v>5.0000000000000001E-3</v>
      </c>
      <c r="J6" s="164">
        <f>I6*$E6</f>
        <v>1457.5539633781295</v>
      </c>
      <c r="K6" s="161">
        <f>J6*24</f>
        <v>34981.295121075105</v>
      </c>
      <c r="L6" s="152">
        <v>1E-4</v>
      </c>
      <c r="M6" s="164">
        <f>L6*$E6</f>
        <v>29.15107926756259</v>
      </c>
      <c r="N6" s="161">
        <f>M6*310</f>
        <v>9036.8345729444027</v>
      </c>
      <c r="O6" s="183">
        <f>SUM(H6,K6,N6)</f>
        <v>15467854.170161385</v>
      </c>
      <c r="S6" s="697"/>
      <c r="AD6" s="150" t="s">
        <v>2077</v>
      </c>
    </row>
    <row r="7" spans="1:30" s="150" customFormat="1">
      <c r="A7" s="165" t="s">
        <v>59</v>
      </c>
      <c r="B7" s="152" t="s">
        <v>773</v>
      </c>
      <c r="C7" s="153" t="s">
        <v>56</v>
      </c>
      <c r="D7" s="260">
        <f>'ATMOS NG Calculations'!C14</f>
        <v>183835.93715328217</v>
      </c>
      <c r="E7" s="1045">
        <f t="shared" ref="E7:E9" si="0">1.028*D7</f>
        <v>188983.34339357406</v>
      </c>
      <c r="F7" s="1046"/>
      <c r="G7" s="153">
        <v>52.91</v>
      </c>
      <c r="H7" s="155">
        <f>G7*E7</f>
        <v>9999108.6989540029</v>
      </c>
      <c r="I7" s="152">
        <v>5.0000000000000001E-3</v>
      </c>
      <c r="J7" s="164">
        <f t="shared" ref="J7:J9" si="1">I7*$E7</f>
        <v>944.91671696787034</v>
      </c>
      <c r="K7" s="161">
        <f t="shared" ref="K7:K9" si="2">J7*24</f>
        <v>22678.001207228888</v>
      </c>
      <c r="L7" s="152">
        <v>1E-4</v>
      </c>
      <c r="M7" s="164">
        <f t="shared" ref="M7:M9" si="3">L7*$E7</f>
        <v>18.898334339357408</v>
      </c>
      <c r="N7" s="161">
        <f t="shared" ref="N7:N9" si="4">M7*310</f>
        <v>5858.4836452007967</v>
      </c>
      <c r="O7" s="183">
        <f t="shared" ref="O7:O9" si="5">SUM(H7,K7,N7)</f>
        <v>10027645.183806432</v>
      </c>
      <c r="S7" s="151"/>
    </row>
    <row r="8" spans="1:30" s="150" customFormat="1">
      <c r="A8" s="165" t="s">
        <v>59</v>
      </c>
      <c r="B8" s="152" t="s">
        <v>773</v>
      </c>
      <c r="C8" s="153" t="s">
        <v>57</v>
      </c>
      <c r="D8" s="260">
        <f>'ATMOS NG Calculations'!C18</f>
        <v>237400.90310428018</v>
      </c>
      <c r="E8" s="1045">
        <f t="shared" si="0"/>
        <v>244048.12839120004</v>
      </c>
      <c r="F8" s="1046"/>
      <c r="G8" s="153">
        <v>52.91</v>
      </c>
      <c r="H8" s="155">
        <f>G8*E8</f>
        <v>12912586.473178392</v>
      </c>
      <c r="I8" s="152">
        <v>1E-4</v>
      </c>
      <c r="J8" s="164">
        <f t="shared" si="1"/>
        <v>24.404812839120005</v>
      </c>
      <c r="K8" s="161">
        <f t="shared" si="2"/>
        <v>585.71550813888007</v>
      </c>
      <c r="L8" s="152">
        <v>1E-4</v>
      </c>
      <c r="M8" s="164">
        <f t="shared" si="3"/>
        <v>24.404812839120005</v>
      </c>
      <c r="N8" s="161">
        <f t="shared" si="4"/>
        <v>7565.4919801272017</v>
      </c>
      <c r="O8" s="183">
        <f t="shared" si="5"/>
        <v>12920737.680666659</v>
      </c>
    </row>
    <row r="9" spans="1:30" s="150" customFormat="1">
      <c r="A9" s="166" t="s">
        <v>59</v>
      </c>
      <c r="B9" s="157" t="s">
        <v>773</v>
      </c>
      <c r="C9" s="153" t="s">
        <v>2267</v>
      </c>
      <c r="D9" s="261">
        <f>'ATMOS NG Calculations'!C19</f>
        <v>32717.5</v>
      </c>
      <c r="E9" s="1047">
        <f t="shared" si="0"/>
        <v>33633.590000000004</v>
      </c>
      <c r="F9" s="1048"/>
      <c r="G9" s="158">
        <v>52.91</v>
      </c>
      <c r="H9" s="159">
        <f>G9*E9</f>
        <v>1779553.2469000001</v>
      </c>
      <c r="I9" s="157">
        <v>5.0000000000000001E-3</v>
      </c>
      <c r="J9" s="173">
        <f t="shared" si="1"/>
        <v>168.16795000000002</v>
      </c>
      <c r="K9" s="162">
        <f t="shared" si="2"/>
        <v>4036.0308000000005</v>
      </c>
      <c r="L9" s="157">
        <v>1E-4</v>
      </c>
      <c r="M9" s="173">
        <f t="shared" si="3"/>
        <v>3.3633590000000004</v>
      </c>
      <c r="N9" s="162">
        <f t="shared" si="4"/>
        <v>1042.64129</v>
      </c>
      <c r="O9" s="184">
        <f t="shared" si="5"/>
        <v>1784631.9189900002</v>
      </c>
    </row>
    <row r="10" spans="1:30" s="150" customFormat="1">
      <c r="A10" s="153"/>
      <c r="B10" s="153"/>
      <c r="C10" s="167" t="s">
        <v>863</v>
      </c>
      <c r="D10" s="479">
        <f>SUM(D6:D9)</f>
        <v>737525.15025330731</v>
      </c>
      <c r="E10" s="1025">
        <f>SUM(E6:E9)</f>
        <v>758175.85446039995</v>
      </c>
      <c r="F10" s="1026"/>
      <c r="G10" s="481"/>
      <c r="H10" s="282">
        <f t="shared" ref="H10:O10" si="6">SUM(H6:H9)</f>
        <v>40115084.459499761</v>
      </c>
      <c r="I10" s="284"/>
      <c r="J10" s="281">
        <f t="shared" si="6"/>
        <v>2595.0434431851199</v>
      </c>
      <c r="K10" s="281">
        <f t="shared" si="6"/>
        <v>62281.042636442871</v>
      </c>
      <c r="L10" s="485"/>
      <c r="M10" s="281">
        <f t="shared" si="6"/>
        <v>75.817585446039999</v>
      </c>
      <c r="N10" s="282">
        <f t="shared" si="6"/>
        <v>23503.4514882724</v>
      </c>
      <c r="O10" s="282">
        <f t="shared" si="6"/>
        <v>40200868.953624472</v>
      </c>
    </row>
    <row r="11" spans="1:30" s="153" customFormat="1">
      <c r="D11" s="154"/>
      <c r="E11" s="163"/>
      <c r="F11" s="163"/>
      <c r="H11" s="155"/>
      <c r="S11" s="150"/>
    </row>
    <row r="12" spans="1:30" s="150" customFormat="1" ht="18">
      <c r="G12" s="1035" t="s">
        <v>774</v>
      </c>
      <c r="H12" s="1036"/>
      <c r="I12" s="1037" t="s">
        <v>775</v>
      </c>
      <c r="J12" s="1037"/>
      <c r="K12" s="1036"/>
      <c r="L12" s="1035" t="s">
        <v>776</v>
      </c>
      <c r="M12" s="1037"/>
      <c r="N12" s="1036"/>
    </row>
    <row r="13" spans="1:30" s="151" customFormat="1" ht="34.5" customHeight="1">
      <c r="A13" s="172" t="s">
        <v>58</v>
      </c>
      <c r="B13" s="167" t="s">
        <v>1</v>
      </c>
      <c r="C13" s="168" t="s">
        <v>54</v>
      </c>
      <c r="D13" s="172"/>
      <c r="E13" s="1041" t="s">
        <v>696</v>
      </c>
      <c r="F13" s="1042"/>
      <c r="G13" s="170" t="s">
        <v>777</v>
      </c>
      <c r="H13" s="171" t="s">
        <v>778</v>
      </c>
      <c r="I13" s="169" t="s">
        <v>777</v>
      </c>
      <c r="J13" s="168" t="s">
        <v>778</v>
      </c>
      <c r="K13" s="174" t="s">
        <v>780</v>
      </c>
      <c r="L13" s="170" t="s">
        <v>777</v>
      </c>
      <c r="M13" s="168" t="s">
        <v>778</v>
      </c>
      <c r="N13" s="174" t="s">
        <v>780</v>
      </c>
      <c r="O13" s="172" t="s">
        <v>779</v>
      </c>
      <c r="S13" s="153"/>
    </row>
    <row r="14" spans="1:30" s="150" customFormat="1">
      <c r="A14" s="165" t="s">
        <v>60</v>
      </c>
      <c r="B14" s="152" t="s">
        <v>686</v>
      </c>
      <c r="C14" s="153" t="s">
        <v>55</v>
      </c>
      <c r="D14" s="152"/>
      <c r="E14" s="1043">
        <f>'BE.1.2 Calculations'!H17*'BE.1.2 Calculations'!B17</f>
        <v>1037.4000000000001</v>
      </c>
      <c r="F14" s="1044"/>
      <c r="G14" s="569">
        <v>62.98</v>
      </c>
      <c r="H14" s="271">
        <f>G14*E14</f>
        <v>65335.452000000005</v>
      </c>
      <c r="I14" s="181">
        <f>0.001/0.092</f>
        <v>1.0869565217391304E-2</v>
      </c>
      <c r="J14" s="164">
        <f>I14*$E14</f>
        <v>11.276086956521739</v>
      </c>
      <c r="K14" s="161">
        <f>J14*24</f>
        <v>270.62608695652176</v>
      </c>
      <c r="L14" s="181">
        <f>0.0001/0.092</f>
        <v>1.0869565217391304E-3</v>
      </c>
      <c r="M14" s="164">
        <f>L14*$E14</f>
        <v>1.127608695652174</v>
      </c>
      <c r="N14" s="161">
        <f t="shared" ref="N14:N16" si="7">M14*310</f>
        <v>349.55869565217392</v>
      </c>
      <c r="O14" s="183">
        <f>SUM(H14,K14,N14)</f>
        <v>65955.636782608693</v>
      </c>
    </row>
    <row r="15" spans="1:30" s="150" customFormat="1">
      <c r="A15" s="165" t="s">
        <v>60</v>
      </c>
      <c r="B15" s="152" t="s">
        <v>685</v>
      </c>
      <c r="C15" s="153" t="s">
        <v>55</v>
      </c>
      <c r="D15" s="152"/>
      <c r="E15" s="1045">
        <f>'BE.1.2 Calculations'!H18*'BE.1.2 Calculations'!B18</f>
        <v>30422</v>
      </c>
      <c r="F15" s="1046"/>
      <c r="G15" s="180">
        <v>73.959999999999994</v>
      </c>
      <c r="H15" s="161">
        <f>G15*E15</f>
        <v>2250011.1199999996</v>
      </c>
      <c r="I15" s="181">
        <f>0.0015/0.138</f>
        <v>1.0869565217391304E-2</v>
      </c>
      <c r="J15" s="164">
        <f t="shared" ref="J15:J16" si="8">I15*$E15</f>
        <v>330.67391304347825</v>
      </c>
      <c r="K15" s="161">
        <f t="shared" ref="K15:K16" si="9">J15*24</f>
        <v>7936.173913043478</v>
      </c>
      <c r="L15" s="181">
        <f>0.0001/0.138</f>
        <v>7.246376811594203E-4</v>
      </c>
      <c r="M15" s="164">
        <f t="shared" ref="M15:M16" si="10">L15*$E15</f>
        <v>22.044927536231885</v>
      </c>
      <c r="N15" s="161">
        <f t="shared" si="7"/>
        <v>6833.927536231884</v>
      </c>
      <c r="O15" s="183">
        <f t="shared" ref="O15:O16" si="11">SUM(H15,K15,N15)</f>
        <v>2264781.221449275</v>
      </c>
      <c r="S15" s="151"/>
    </row>
    <row r="16" spans="1:30" s="150" customFormat="1">
      <c r="A16" s="166" t="s">
        <v>60</v>
      </c>
      <c r="B16" s="157" t="s">
        <v>590</v>
      </c>
      <c r="C16" s="158" t="s">
        <v>55</v>
      </c>
      <c r="D16" s="157"/>
      <c r="E16" s="1047">
        <f>'BE.1.2 Calculations'!H19*'BE.1.2 Calculations'!B19</f>
        <v>2086</v>
      </c>
      <c r="F16" s="1048"/>
      <c r="G16" s="250">
        <v>93.8</v>
      </c>
      <c r="H16" s="162">
        <f>G16*E16</f>
        <v>195666.8</v>
      </c>
      <c r="I16" s="182">
        <v>0.316</v>
      </c>
      <c r="J16" s="173">
        <f t="shared" si="8"/>
        <v>659.17600000000004</v>
      </c>
      <c r="K16" s="162">
        <f t="shared" si="9"/>
        <v>15820.224000000002</v>
      </c>
      <c r="L16" s="182">
        <v>4.1999999999999997E-3</v>
      </c>
      <c r="M16" s="173">
        <f t="shared" si="10"/>
        <v>8.7611999999999988</v>
      </c>
      <c r="N16" s="162">
        <f t="shared" si="7"/>
        <v>2715.9719999999998</v>
      </c>
      <c r="O16" s="184">
        <f t="shared" si="11"/>
        <v>214202.99599999998</v>
      </c>
    </row>
    <row r="17" spans="1:19" s="150" customFormat="1">
      <c r="B17" s="153"/>
      <c r="C17" s="167" t="s">
        <v>863</v>
      </c>
      <c r="D17" s="479"/>
      <c r="E17" s="1025">
        <f>SUM(E14:E16)</f>
        <v>33545.4</v>
      </c>
      <c r="F17" s="1026"/>
      <c r="G17" s="485"/>
      <c r="H17" s="282">
        <f t="shared" ref="H17:O17" si="12">SUM(H14:H16)</f>
        <v>2511013.3719999995</v>
      </c>
      <c r="I17" s="281"/>
      <c r="J17" s="281">
        <f t="shared" si="12"/>
        <v>1001.126</v>
      </c>
      <c r="K17" s="281">
        <f t="shared" si="12"/>
        <v>24027.024000000001</v>
      </c>
      <c r="L17" s="485"/>
      <c r="M17" s="281">
        <f t="shared" si="12"/>
        <v>31.933736231884058</v>
      </c>
      <c r="N17" s="282">
        <f t="shared" si="12"/>
        <v>9899.4582318840585</v>
      </c>
      <c r="O17" s="282">
        <f t="shared" si="12"/>
        <v>2544939.8542318833</v>
      </c>
    </row>
    <row r="18" spans="1:19">
      <c r="A18" s="2" t="s">
        <v>694</v>
      </c>
      <c r="C18" s="150"/>
      <c r="D18" s="55"/>
      <c r="E18"/>
      <c r="F18" s="697"/>
      <c r="S18" s="150"/>
    </row>
    <row r="19" spans="1:19" ht="18">
      <c r="B19" s="2"/>
      <c r="G19" s="1035" t="s">
        <v>774</v>
      </c>
      <c r="H19" s="1036"/>
      <c r="I19" s="1037" t="s">
        <v>775</v>
      </c>
      <c r="J19" s="1037"/>
      <c r="K19" s="1036"/>
      <c r="L19" s="1035" t="s">
        <v>776</v>
      </c>
      <c r="M19" s="1037"/>
      <c r="N19" s="1036"/>
      <c r="S19" s="150"/>
    </row>
    <row r="20" spans="1:19" s="150" customFormat="1" ht="30">
      <c r="A20" s="172" t="s">
        <v>58</v>
      </c>
      <c r="B20" s="796" t="s">
        <v>697</v>
      </c>
      <c r="C20" s="797" t="s">
        <v>54</v>
      </c>
      <c r="D20" s="169" t="s">
        <v>700</v>
      </c>
      <c r="E20" s="1027" t="s">
        <v>696</v>
      </c>
      <c r="F20" s="1028"/>
      <c r="G20" s="170" t="s">
        <v>777</v>
      </c>
      <c r="H20" s="171" t="s">
        <v>778</v>
      </c>
      <c r="I20" s="169" t="s">
        <v>777</v>
      </c>
      <c r="J20" s="168" t="s">
        <v>778</v>
      </c>
      <c r="K20" s="174" t="s">
        <v>780</v>
      </c>
      <c r="L20" s="170" t="s">
        <v>777</v>
      </c>
      <c r="M20" s="168" t="s">
        <v>778</v>
      </c>
      <c r="N20" s="174" t="s">
        <v>780</v>
      </c>
      <c r="O20" s="172" t="s">
        <v>779</v>
      </c>
      <c r="S20"/>
    </row>
    <row r="21" spans="1:19" s="150" customFormat="1">
      <c r="A21" s="152" t="s">
        <v>699</v>
      </c>
      <c r="B21" s="631" t="s">
        <v>698</v>
      </c>
      <c r="C21" s="632" t="s">
        <v>55</v>
      </c>
      <c r="D21" s="175">
        <f>'2006 - 2009 APCO Billed kWh''s'!T4</f>
        <v>78042240</v>
      </c>
      <c r="E21" s="1029">
        <f>D21*3412.12/1000000</f>
        <v>266289.48794879997</v>
      </c>
      <c r="F21" s="1030"/>
      <c r="G21" s="497">
        <f>'APCO Emission Factors'!C$4*0.454/3412.12*1000</f>
        <v>224.73007983306567</v>
      </c>
      <c r="H21" s="498">
        <f t="shared" ref="H21:H30" si="13">G21*E21</f>
        <v>59843257.885439999</v>
      </c>
      <c r="I21" s="176">
        <f>18.12*0.454/3412.12</f>
        <v>2.4109585829337776E-3</v>
      </c>
      <c r="J21" s="155">
        <f t="shared" ref="J21:J30" si="14">I21*E21</f>
        <v>642.01292651519998</v>
      </c>
      <c r="K21" s="161">
        <f>J21*24</f>
        <v>15408.310236364799</v>
      </c>
      <c r="L21" s="176">
        <f>25.13*0.454/3412.12</f>
        <v>3.3436749000621316E-3</v>
      </c>
      <c r="M21" s="155">
        <f t="shared" ref="M21:M30" si="15">L21*E21</f>
        <v>890.3854770047999</v>
      </c>
      <c r="N21" s="161">
        <f t="shared" ref="N21:N30" si="16">M21*310</f>
        <v>276019.49787148798</v>
      </c>
      <c r="O21" s="183">
        <f>SUM(H21,K21,N21)</f>
        <v>60134685.693547852</v>
      </c>
      <c r="S21"/>
    </row>
    <row r="22" spans="1:19" s="150" customFormat="1">
      <c r="A22" s="152" t="s">
        <v>699</v>
      </c>
      <c r="B22" s="152" t="s">
        <v>698</v>
      </c>
      <c r="C22" s="156" t="s">
        <v>56</v>
      </c>
      <c r="D22" s="175">
        <f>'2006 - 2009 APCO Billed kWh''s'!T5</f>
        <v>12619976</v>
      </c>
      <c r="E22" s="1031">
        <f>D22*3412.12/1000000</f>
        <v>43060.872509119996</v>
      </c>
      <c r="F22" s="1032"/>
      <c r="G22" s="492">
        <f>'APCO Emission Factors'!C$4*0.454/3412.12*1000</f>
        <v>224.73007983306567</v>
      </c>
      <c r="H22" s="178">
        <f t="shared" si="13"/>
        <v>9677073.316655999</v>
      </c>
      <c r="I22" s="176">
        <f t="shared" ref="I22:I30" si="17">18.12*0.454/3412.12</f>
        <v>2.4109585829337776E-3</v>
      </c>
      <c r="J22" s="155">
        <f t="shared" si="14"/>
        <v>103.81798016448001</v>
      </c>
      <c r="K22" s="161">
        <f t="shared" ref="K22:K30" si="18">J22*24</f>
        <v>2491.6315239475202</v>
      </c>
      <c r="L22" s="176">
        <f t="shared" ref="L22:L30" si="19">25.13*0.454/3412.12</f>
        <v>3.3436749000621316E-3</v>
      </c>
      <c r="M22" s="155">
        <f t="shared" si="15"/>
        <v>143.98155858351998</v>
      </c>
      <c r="N22" s="161">
        <f t="shared" si="16"/>
        <v>44634.283160891195</v>
      </c>
      <c r="O22" s="183">
        <f t="shared" ref="O22:O30" si="20">SUM(H22,K22,N22)</f>
        <v>9724199.2313408386</v>
      </c>
    </row>
    <row r="23" spans="1:19" s="150" customFormat="1">
      <c r="A23" s="152" t="s">
        <v>699</v>
      </c>
      <c r="B23" s="152" t="s">
        <v>698</v>
      </c>
      <c r="C23" s="156" t="s">
        <v>57</v>
      </c>
      <c r="D23" s="175">
        <f>'2006 - 2009 APCO Billed kWh''s'!T6</f>
        <v>24312028</v>
      </c>
      <c r="E23" s="1031">
        <f>D23*3412.12/1000000</f>
        <v>82955.556979360001</v>
      </c>
      <c r="F23" s="1032"/>
      <c r="G23" s="492">
        <f>'APCO Emission Factors'!C$4*0.454/3412.12*1000</f>
        <v>224.73007983306567</v>
      </c>
      <c r="H23" s="178">
        <f t="shared" si="13"/>
        <v>18642608.942568</v>
      </c>
      <c r="I23" s="176">
        <f t="shared" si="17"/>
        <v>2.4109585829337776E-3</v>
      </c>
      <c r="J23" s="155">
        <f t="shared" si="14"/>
        <v>200.00241210144003</v>
      </c>
      <c r="K23" s="161">
        <f t="shared" si="18"/>
        <v>4800.0578904345602</v>
      </c>
      <c r="L23" s="176">
        <f t="shared" si="19"/>
        <v>3.3436749000621316E-3</v>
      </c>
      <c r="M23" s="155">
        <f t="shared" si="15"/>
        <v>277.37641369255999</v>
      </c>
      <c r="N23" s="161">
        <f t="shared" si="16"/>
        <v>85986.688244693592</v>
      </c>
      <c r="O23" s="183">
        <f t="shared" si="20"/>
        <v>18733395.688703127</v>
      </c>
    </row>
    <row r="24" spans="1:19" s="150" customFormat="1">
      <c r="A24" s="152" t="s">
        <v>699</v>
      </c>
      <c r="B24" s="501" t="s">
        <v>698</v>
      </c>
      <c r="C24" s="502" t="s">
        <v>2267</v>
      </c>
      <c r="D24" s="477">
        <f>'2006 - 2009 APCO Billed kWh''s'!T$7</f>
        <v>358993932</v>
      </c>
      <c r="E24" s="1078">
        <f t="shared" ref="E24:E30" si="21">D24*3412.12/1000000</f>
        <v>1224930.3752558399</v>
      </c>
      <c r="F24" s="1079"/>
      <c r="G24" s="503">
        <f>'APCO Emission Factors'!C$4*0.454/3412.12*1000</f>
        <v>224.73007983306567</v>
      </c>
      <c r="H24" s="504">
        <f t="shared" si="13"/>
        <v>275278701.02119201</v>
      </c>
      <c r="I24" s="505">
        <f t="shared" si="17"/>
        <v>2.4109585829337776E-3</v>
      </c>
      <c r="J24" s="506">
        <f t="shared" si="14"/>
        <v>2953.2564017193604</v>
      </c>
      <c r="K24" s="507">
        <f t="shared" si="18"/>
        <v>70878.153641264653</v>
      </c>
      <c r="L24" s="505">
        <f t="shared" si="19"/>
        <v>3.3436749000621316E-3</v>
      </c>
      <c r="M24" s="506">
        <f t="shared" si="15"/>
        <v>4095.7689500666397</v>
      </c>
      <c r="N24" s="507">
        <f t="shared" si="16"/>
        <v>1269688.3745206583</v>
      </c>
      <c r="O24" s="508">
        <f t="shared" si="20"/>
        <v>276619267.54935396</v>
      </c>
    </row>
    <row r="25" spans="1:19" s="150" customFormat="1">
      <c r="A25" s="152"/>
      <c r="B25" s="509" t="s">
        <v>698</v>
      </c>
      <c r="C25" s="510" t="s">
        <v>2267</v>
      </c>
      <c r="D25" s="511">
        <f>'2006 - 2009 APCO Billed kWh''s'!T23</f>
        <v>10215879</v>
      </c>
      <c r="E25" s="1080">
        <f t="shared" ref="E25" si="22">D25*3412.12/1000000</f>
        <v>34857.805053479999</v>
      </c>
      <c r="F25" s="1081"/>
      <c r="G25" s="512">
        <f>'APCO Emission Factors'!C$4*0.454/3412.12*1000</f>
        <v>224.73007983306567</v>
      </c>
      <c r="H25" s="513">
        <f t="shared" si="13"/>
        <v>7833597.3124740003</v>
      </c>
      <c r="I25" s="514">
        <f t="shared" si="17"/>
        <v>2.4109585829337776E-3</v>
      </c>
      <c r="J25" s="515">
        <f t="shared" si="14"/>
        <v>84.040724275920013</v>
      </c>
      <c r="K25" s="516">
        <f t="shared" ref="K25" si="23">J25*24</f>
        <v>2016.9773826220803</v>
      </c>
      <c r="L25" s="514">
        <f t="shared" si="19"/>
        <v>3.3436749000621316E-3</v>
      </c>
      <c r="M25" s="515">
        <f t="shared" si="15"/>
        <v>116.55316782858</v>
      </c>
      <c r="N25" s="516">
        <f t="shared" ref="N25" si="24">M25*310</f>
        <v>36131.482026859798</v>
      </c>
      <c r="O25" s="517">
        <f t="shared" ref="O25" si="25">SUM(H25,K25,N25)</f>
        <v>7871745.7718834821</v>
      </c>
    </row>
    <row r="26" spans="1:19" s="1224" customFormat="1">
      <c r="A26" s="915"/>
      <c r="B26" s="915"/>
      <c r="C26" s="916"/>
      <c r="D26" s="1216"/>
      <c r="E26" s="1225" t="s">
        <v>2533</v>
      </c>
      <c r="F26" s="1217"/>
      <c r="G26" s="1218"/>
      <c r="H26" s="1219"/>
      <c r="I26" s="1220"/>
      <c r="J26" s="1221"/>
      <c r="K26" s="1222"/>
      <c r="L26" s="1220"/>
      <c r="M26" s="1221"/>
      <c r="N26" s="1222"/>
      <c r="O26" s="1223"/>
    </row>
    <row r="27" spans="1:19" s="150" customFormat="1">
      <c r="A27" s="152" t="s">
        <v>699</v>
      </c>
      <c r="B27" s="152" t="s">
        <v>717</v>
      </c>
      <c r="C27" s="156" t="s">
        <v>55</v>
      </c>
      <c r="D27" s="175">
        <f>'2006 VTES Billed kWh''s'!C46</f>
        <v>56485748</v>
      </c>
      <c r="E27" s="1031">
        <f t="shared" si="21"/>
        <v>192736.15046575997</v>
      </c>
      <c r="F27" s="1032"/>
      <c r="G27" s="492">
        <f>'APCO Emission Factors'!C$4*0.454/3412.12*1000</f>
        <v>224.73007983306567</v>
      </c>
      <c r="H27" s="178">
        <f t="shared" si="13"/>
        <v>43313610.480887994</v>
      </c>
      <c r="I27" s="176">
        <f t="shared" si="17"/>
        <v>2.4109585829337776E-3</v>
      </c>
      <c r="J27" s="155">
        <f t="shared" si="14"/>
        <v>464.67887620703999</v>
      </c>
      <c r="K27" s="161">
        <f t="shared" si="18"/>
        <v>11152.293028968959</v>
      </c>
      <c r="L27" s="176">
        <f t="shared" si="19"/>
        <v>3.3436749000621316E-3</v>
      </c>
      <c r="M27" s="155">
        <f t="shared" si="15"/>
        <v>644.44702864695989</v>
      </c>
      <c r="N27" s="161">
        <f t="shared" si="16"/>
        <v>199778.57888055756</v>
      </c>
      <c r="O27" s="183">
        <f t="shared" si="20"/>
        <v>43524541.352797516</v>
      </c>
    </row>
    <row r="28" spans="1:19" s="150" customFormat="1">
      <c r="A28" s="152" t="s">
        <v>699</v>
      </c>
      <c r="B28" s="152" t="s">
        <v>717</v>
      </c>
      <c r="C28" s="156" t="s">
        <v>56</v>
      </c>
      <c r="D28" s="175">
        <f>'2006 VTES Billed kWh''s'!C47</f>
        <v>53756562.799999997</v>
      </c>
      <c r="E28" s="1031">
        <f t="shared" si="21"/>
        <v>183423.84306113599</v>
      </c>
      <c r="F28" s="1032"/>
      <c r="G28" s="492">
        <f>'APCO Emission Factors'!C$4*0.454/3412.12*1000</f>
        <v>224.73007983306567</v>
      </c>
      <c r="H28" s="178">
        <f t="shared" si="13"/>
        <v>41220854.894416802</v>
      </c>
      <c r="I28" s="176">
        <f t="shared" si="17"/>
        <v>2.4109585829337776E-3</v>
      </c>
      <c r="J28" s="155">
        <f t="shared" si="14"/>
        <v>442.22728874294404</v>
      </c>
      <c r="K28" s="161">
        <f t="shared" si="18"/>
        <v>10613.454929830657</v>
      </c>
      <c r="L28" s="176">
        <f t="shared" si="19"/>
        <v>3.3436749000621316E-3</v>
      </c>
      <c r="M28" s="155">
        <f t="shared" si="15"/>
        <v>613.30970011645604</v>
      </c>
      <c r="N28" s="161">
        <f t="shared" si="16"/>
        <v>190126.00703610136</v>
      </c>
      <c r="O28" s="183">
        <f t="shared" si="20"/>
        <v>41421594.356382735</v>
      </c>
    </row>
    <row r="29" spans="1:19" s="150" customFormat="1">
      <c r="A29" s="152" t="s">
        <v>699</v>
      </c>
      <c r="B29" s="152" t="s">
        <v>717</v>
      </c>
      <c r="C29" s="156" t="s">
        <v>57</v>
      </c>
      <c r="D29" s="175">
        <f>'2006 VTES Billed kWh''s'!C48</f>
        <v>11353799</v>
      </c>
      <c r="E29" s="1031">
        <f t="shared" si="21"/>
        <v>38740.524643879995</v>
      </c>
      <c r="F29" s="1032"/>
      <c r="G29" s="492">
        <f>'APCO Emission Factors'!C$4*0.454/3412.12*1000</f>
        <v>224.73007983306567</v>
      </c>
      <c r="H29" s="178">
        <f t="shared" si="13"/>
        <v>8706161.195993999</v>
      </c>
      <c r="I29" s="176">
        <f t="shared" si="17"/>
        <v>2.4109585829337776E-3</v>
      </c>
      <c r="J29" s="155">
        <f t="shared" si="14"/>
        <v>93.401800397520006</v>
      </c>
      <c r="K29" s="161">
        <f t="shared" si="18"/>
        <v>2241.6432095404803</v>
      </c>
      <c r="L29" s="176">
        <f t="shared" si="19"/>
        <v>3.3436749000621316E-3</v>
      </c>
      <c r="M29" s="155">
        <f t="shared" si="15"/>
        <v>129.53571986698</v>
      </c>
      <c r="N29" s="161">
        <f t="shared" si="16"/>
        <v>40156.0731587638</v>
      </c>
      <c r="O29" s="183">
        <f t="shared" si="20"/>
        <v>8748558.9123623036</v>
      </c>
    </row>
    <row r="30" spans="1:19" s="150" customFormat="1">
      <c r="A30" s="157" t="s">
        <v>699</v>
      </c>
      <c r="B30" s="157" t="s">
        <v>717</v>
      </c>
      <c r="C30" s="160" t="s">
        <v>2267</v>
      </c>
      <c r="D30" s="175">
        <f>'2006 VTES Billed kWh''s'!C49</f>
        <v>6787058.8100000005</v>
      </c>
      <c r="E30" s="1033">
        <f t="shared" si="21"/>
        <v>23158.259106777201</v>
      </c>
      <c r="F30" s="1034"/>
      <c r="G30" s="492">
        <f>'APCO Emission Factors'!C$4*0.454/3412.12*1000</f>
        <v>224.73007983306567</v>
      </c>
      <c r="H30" s="179">
        <f t="shared" si="13"/>
        <v>5204357.4178608609</v>
      </c>
      <c r="I30" s="177">
        <f t="shared" si="17"/>
        <v>2.4109585829337776E-3</v>
      </c>
      <c r="J30" s="159">
        <f t="shared" si="14"/>
        <v>55.833603559288811</v>
      </c>
      <c r="K30" s="162">
        <f t="shared" si="18"/>
        <v>1340.0064854229315</v>
      </c>
      <c r="L30" s="177">
        <f t="shared" si="19"/>
        <v>3.3436749000621316E-3</v>
      </c>
      <c r="M30" s="159">
        <f t="shared" si="15"/>
        <v>77.433689704466204</v>
      </c>
      <c r="N30" s="162">
        <f t="shared" si="16"/>
        <v>24004.443808384523</v>
      </c>
      <c r="O30" s="184">
        <f t="shared" si="20"/>
        <v>5229701.8681546682</v>
      </c>
    </row>
    <row r="31" spans="1:19">
      <c r="C31" s="629" t="s">
        <v>863</v>
      </c>
      <c r="D31" s="479"/>
      <c r="E31" s="1025">
        <f>SUM(E21:E30)-E24</f>
        <v>865222.49976831325</v>
      </c>
      <c r="F31" s="1026"/>
      <c r="G31" s="485"/>
      <c r="H31" s="282">
        <f>SUM(H21:H30)-H24</f>
        <v>194441521.44629771</v>
      </c>
      <c r="I31" s="281"/>
      <c r="J31" s="281">
        <f>SUM(J21:J30)-J24</f>
        <v>2086.0156119638336</v>
      </c>
      <c r="K31" s="281">
        <f>SUM(K21:K30)-K24</f>
        <v>50064.37468713196</v>
      </c>
      <c r="L31" s="485"/>
      <c r="M31" s="281">
        <f>SUM(M21:M30)-M24</f>
        <v>2893.0227554443204</v>
      </c>
      <c r="N31" s="282">
        <f>SUM(N21:N30)-N24</f>
        <v>896837.05418774043</v>
      </c>
      <c r="O31" s="282">
        <f>SUM(O21:O30)-O24</f>
        <v>195388422.87517244</v>
      </c>
      <c r="S31" s="150"/>
    </row>
    <row r="32" spans="1:19">
      <c r="A32" s="185" t="s">
        <v>784</v>
      </c>
      <c r="S32" s="150"/>
    </row>
    <row r="33" spans="1:19" ht="18">
      <c r="B33" s="2"/>
      <c r="E33" s="150"/>
      <c r="F33" s="55"/>
      <c r="G33" s="1035" t="s">
        <v>774</v>
      </c>
      <c r="H33" s="1036"/>
      <c r="I33" s="1037" t="s">
        <v>775</v>
      </c>
      <c r="J33" s="1037"/>
      <c r="K33" s="1036"/>
      <c r="L33" s="1035" t="s">
        <v>776</v>
      </c>
      <c r="M33" s="1037"/>
      <c r="N33" s="1036"/>
    </row>
    <row r="34" spans="1:19" s="150" customFormat="1" ht="48" customHeight="1">
      <c r="A34" s="172" t="s">
        <v>58</v>
      </c>
      <c r="B34" s="167" t="s">
        <v>783</v>
      </c>
      <c r="C34" s="168" t="s">
        <v>54</v>
      </c>
      <c r="D34" s="480" t="s">
        <v>820</v>
      </c>
      <c r="E34" s="552" t="s">
        <v>696</v>
      </c>
      <c r="F34" s="169" t="s">
        <v>854</v>
      </c>
      <c r="G34" s="170" t="s">
        <v>850</v>
      </c>
      <c r="H34" s="171" t="s">
        <v>778</v>
      </c>
      <c r="I34" s="169" t="s">
        <v>851</v>
      </c>
      <c r="J34" s="168" t="s">
        <v>778</v>
      </c>
      <c r="K34" s="174" t="s">
        <v>780</v>
      </c>
      <c r="L34" s="170" t="s">
        <v>851</v>
      </c>
      <c r="M34" s="168" t="s">
        <v>778</v>
      </c>
      <c r="N34" s="174" t="s">
        <v>780</v>
      </c>
      <c r="O34" s="172" t="s">
        <v>779</v>
      </c>
      <c r="S34"/>
    </row>
    <row r="35" spans="1:19">
      <c r="A35" s="251" t="s">
        <v>781</v>
      </c>
      <c r="B35" s="254" t="s">
        <v>855</v>
      </c>
      <c r="C35" s="499" t="s">
        <v>782</v>
      </c>
      <c r="D35" s="494">
        <f>SUM('VDOT VMT Totals'!E$23,'VDOT VMT Totals'!E$22)*60.6/60.9</f>
        <v>143975055.06344029</v>
      </c>
      <c r="E35" s="546">
        <f>F35*'Transportation Fuel Information'!$R$31</f>
        <v>767953.64874807023</v>
      </c>
      <c r="F35" s="548">
        <f>D35/'Vehicle Fuel Efficiency'!T7</f>
        <v>6388168.2714143014</v>
      </c>
      <c r="G35" s="266">
        <v>8.7799999999999994</v>
      </c>
      <c r="H35" s="267">
        <f t="shared" ref="H35:H42" si="26">G35*F35</f>
        <v>56088117.423017561</v>
      </c>
      <c r="I35" s="266">
        <f>0.028/1000</f>
        <v>2.8E-5</v>
      </c>
      <c r="J35" s="270">
        <f t="shared" ref="J35:J42" si="27">I35*D35</f>
        <v>4031.3015417763281</v>
      </c>
      <c r="K35" s="271">
        <f t="shared" ref="K35:K42" si="28">J35*24</f>
        <v>96751.237002631882</v>
      </c>
      <c r="L35" s="266">
        <f>0.029/1000</f>
        <v>2.9E-5</v>
      </c>
      <c r="M35" s="270">
        <f t="shared" ref="M35:M42" si="29">L35*D35</f>
        <v>4175.2765968397689</v>
      </c>
      <c r="N35" s="271">
        <f t="shared" ref="N35:N42" si="30">M35*310</f>
        <v>1294335.7450203283</v>
      </c>
      <c r="O35" s="273">
        <f>SUM(N35,K35,H35)</f>
        <v>57479204.405040525</v>
      </c>
    </row>
    <row r="36" spans="1:19">
      <c r="A36" s="252" t="s">
        <v>781</v>
      </c>
      <c r="B36" s="256" t="s">
        <v>862</v>
      </c>
      <c r="C36" s="307" t="s">
        <v>782</v>
      </c>
      <c r="D36" s="495">
        <f>SUM('VDOT VMT Totals'!E$23,'VDOT VMT Totals'!E$22)*0.3/60.9</f>
        <v>712747.79734376387</v>
      </c>
      <c r="E36" s="547">
        <f>F36*'Transportation Fuel Information'!$R$32</f>
        <v>4203.3830979952072</v>
      </c>
      <c r="F36" s="549">
        <f>D36/'Vehicle Fuel Efficiency'!T7</f>
        <v>31624.595403041098</v>
      </c>
      <c r="G36" s="72">
        <v>10.210000000000001</v>
      </c>
      <c r="H36" s="268">
        <f t="shared" si="26"/>
        <v>322887.11906504963</v>
      </c>
      <c r="I36" s="72">
        <f>0.001/1000</f>
        <v>9.9999999999999995E-7</v>
      </c>
      <c r="J36" s="248">
        <f t="shared" si="27"/>
        <v>0.71274779734376381</v>
      </c>
      <c r="K36" s="161">
        <f t="shared" si="28"/>
        <v>17.105947136250332</v>
      </c>
      <c r="L36" s="72">
        <f>0.001/1000</f>
        <v>9.9999999999999995E-7</v>
      </c>
      <c r="M36" s="248">
        <f t="shared" si="29"/>
        <v>0.71274779734376381</v>
      </c>
      <c r="N36" s="161">
        <f t="shared" si="30"/>
        <v>220.95181717656678</v>
      </c>
      <c r="O36" s="274">
        <f t="shared" ref="O36:O42" si="31">SUM(N36,K36,H36)</f>
        <v>323125.17682936246</v>
      </c>
      <c r="S36" s="150"/>
    </row>
    <row r="37" spans="1:19">
      <c r="A37" s="252" t="s">
        <v>781</v>
      </c>
      <c r="B37" s="256" t="s">
        <v>856</v>
      </c>
      <c r="C37" s="307" t="s">
        <v>782</v>
      </c>
      <c r="D37" s="495">
        <f>'VDOT VMT Totals'!E$24*32.4/33.7</f>
        <v>18835143.097750638</v>
      </c>
      <c r="E37" s="547">
        <f>F37*'Transportation Fuel Information'!$R$31</f>
        <v>126936.53916110282</v>
      </c>
      <c r="F37" s="550">
        <f>$D37/'Vehicle Fuel Efficiency'!$T$8</f>
        <v>1055912.6495121475</v>
      </c>
      <c r="G37" s="72">
        <v>8.7799999999999994</v>
      </c>
      <c r="H37" s="268">
        <f t="shared" si="26"/>
        <v>9270913.0627166554</v>
      </c>
      <c r="I37" s="72">
        <f>0.031/1000</f>
        <v>3.1000000000000001E-5</v>
      </c>
      <c r="J37" s="248">
        <f t="shared" si="27"/>
        <v>583.88943603026985</v>
      </c>
      <c r="K37" s="161">
        <f t="shared" si="28"/>
        <v>14013.346464726477</v>
      </c>
      <c r="L37" s="72">
        <f>0.043/1000</f>
        <v>4.2999999999999995E-5</v>
      </c>
      <c r="M37" s="248">
        <f t="shared" si="29"/>
        <v>809.91115320327731</v>
      </c>
      <c r="N37" s="161">
        <f t="shared" si="30"/>
        <v>251072.45749301597</v>
      </c>
      <c r="O37" s="274">
        <f t="shared" si="31"/>
        <v>9535998.8666743971</v>
      </c>
    </row>
    <row r="38" spans="1:19">
      <c r="A38" s="252" t="s">
        <v>781</v>
      </c>
      <c r="B38" s="256" t="s">
        <v>857</v>
      </c>
      <c r="C38" s="307" t="s">
        <v>782</v>
      </c>
      <c r="D38" s="495">
        <f>'VDOT VMT Totals'!E$24*1.3/33.7</f>
        <v>755731.05021838984</v>
      </c>
      <c r="E38" s="547">
        <f>F38*'Transportation Fuel Information'!$R$32</f>
        <v>5631.1919368172603</v>
      </c>
      <c r="F38" s="550">
        <f>$D38/'Vehicle Fuel Efficiency'!$T$8</f>
        <v>42366.86556684543</v>
      </c>
      <c r="G38" s="72">
        <v>10.210000000000001</v>
      </c>
      <c r="H38" s="268">
        <f t="shared" si="26"/>
        <v>432565.69743749191</v>
      </c>
      <c r="I38" s="72">
        <f>0.001/1000</f>
        <v>9.9999999999999995E-7</v>
      </c>
      <c r="J38" s="248">
        <f t="shared" si="27"/>
        <v>0.75573105021838982</v>
      </c>
      <c r="K38" s="161">
        <f t="shared" si="28"/>
        <v>18.137545205241356</v>
      </c>
      <c r="L38" s="72">
        <f>0.001/1000</f>
        <v>9.9999999999999995E-7</v>
      </c>
      <c r="M38" s="248">
        <f t="shared" si="29"/>
        <v>0.75573105021838982</v>
      </c>
      <c r="N38" s="161">
        <f t="shared" si="30"/>
        <v>234.27662556770085</v>
      </c>
      <c r="O38" s="274">
        <f t="shared" si="31"/>
        <v>432818.11160826485</v>
      </c>
    </row>
    <row r="39" spans="1:19">
      <c r="A39" s="252" t="s">
        <v>853</v>
      </c>
      <c r="B39" s="256" t="s">
        <v>858</v>
      </c>
      <c r="C39" s="307" t="s">
        <v>782</v>
      </c>
      <c r="D39" s="495">
        <f>SUM('VDOT VMT Totals'!E$26:E$31)*0.292</f>
        <v>1514597.2672917966</v>
      </c>
      <c r="E39" s="547">
        <f>F39*'Transportation Fuel Information'!$R$31</f>
        <v>23224.146745852468</v>
      </c>
      <c r="F39" s="549">
        <f>D39/7.84</f>
        <v>193188.42695048428</v>
      </c>
      <c r="G39" s="72">
        <v>8.7799999999999994</v>
      </c>
      <c r="H39" s="268">
        <f t="shared" si="26"/>
        <v>1696194.3886252518</v>
      </c>
      <c r="I39" s="72">
        <f>0.033/1000</f>
        <v>3.3000000000000003E-5</v>
      </c>
      <c r="J39" s="248">
        <f t="shared" si="27"/>
        <v>49.981709820629291</v>
      </c>
      <c r="K39" s="161">
        <f t="shared" si="28"/>
        <v>1199.5610356951029</v>
      </c>
      <c r="L39" s="72">
        <f>0.0134/1000</f>
        <v>1.34E-5</v>
      </c>
      <c r="M39" s="248">
        <f t="shared" si="29"/>
        <v>20.295603381710077</v>
      </c>
      <c r="N39" s="161">
        <f t="shared" si="30"/>
        <v>6291.6370483301234</v>
      </c>
      <c r="O39" s="274">
        <f t="shared" si="31"/>
        <v>1703685.586709277</v>
      </c>
    </row>
    <row r="40" spans="1:19">
      <c r="A40" s="252" t="s">
        <v>853</v>
      </c>
      <c r="B40" s="256" t="s">
        <v>859</v>
      </c>
      <c r="C40" s="307" t="s">
        <v>782</v>
      </c>
      <c r="D40" s="495">
        <f>SUM('VDOT VMT Totals'!E$26:E$31)*0.708</f>
        <v>3672379.675488329</v>
      </c>
      <c r="E40" s="547">
        <f>F40*'Transportation Fuel Information'!$R$32</f>
        <v>67326.116492073284</v>
      </c>
      <c r="F40" s="549">
        <f>D40/7.25</f>
        <v>506535.12765356264</v>
      </c>
      <c r="G40" s="72">
        <v>10.210000000000001</v>
      </c>
      <c r="H40" s="268">
        <f t="shared" si="26"/>
        <v>5171723.6533428747</v>
      </c>
      <c r="I40" s="72">
        <f>0.0051/1000</f>
        <v>5.1000000000000003E-6</v>
      </c>
      <c r="J40" s="248">
        <f t="shared" si="27"/>
        <v>18.729136344990479</v>
      </c>
      <c r="K40" s="161">
        <f t="shared" si="28"/>
        <v>449.4992722797715</v>
      </c>
      <c r="L40" s="72">
        <f>0.0048/1000</f>
        <v>4.7999999999999998E-6</v>
      </c>
      <c r="M40" s="248">
        <f t="shared" si="29"/>
        <v>17.627422442343978</v>
      </c>
      <c r="N40" s="161">
        <f t="shared" si="30"/>
        <v>5464.5009571266328</v>
      </c>
      <c r="O40" s="274">
        <f t="shared" si="31"/>
        <v>5177637.6535722809</v>
      </c>
    </row>
    <row r="41" spans="1:19">
      <c r="A41" s="252" t="s">
        <v>853</v>
      </c>
      <c r="B41" s="256" t="s">
        <v>860</v>
      </c>
      <c r="C41" s="307" t="s">
        <v>782</v>
      </c>
      <c r="D41" s="495">
        <f>SUM('VDOT VMT Totals'!E$32:E$33,'VDOT VMT Totals'!E$25)*0.025</f>
        <v>22385.335935635452</v>
      </c>
      <c r="E41" s="547">
        <f>F41*'Transportation Fuel Information'!$R$31</f>
        <v>333.05113360178416</v>
      </c>
      <c r="F41" s="549">
        <f>D41/8.08</f>
        <v>2770.4623682717142</v>
      </c>
      <c r="G41" s="72">
        <v>8.7799999999999994</v>
      </c>
      <c r="H41" s="268">
        <f t="shared" si="26"/>
        <v>24324.659593425647</v>
      </c>
      <c r="I41" s="72">
        <f>0.033/1000</f>
        <v>3.3000000000000003E-5</v>
      </c>
      <c r="J41" s="248">
        <f t="shared" si="27"/>
        <v>0.73871608587596993</v>
      </c>
      <c r="K41" s="161">
        <f t="shared" si="28"/>
        <v>17.729186061023277</v>
      </c>
      <c r="L41" s="72">
        <f>0.034/1000</f>
        <v>3.4E-5</v>
      </c>
      <c r="M41" s="248">
        <f t="shared" si="29"/>
        <v>0.76110142181160534</v>
      </c>
      <c r="N41" s="161">
        <f t="shared" si="30"/>
        <v>235.94144076159765</v>
      </c>
      <c r="O41" s="274">
        <f t="shared" si="31"/>
        <v>24578.33022024827</v>
      </c>
    </row>
    <row r="42" spans="1:19">
      <c r="A42" s="253" t="s">
        <v>853</v>
      </c>
      <c r="B42" s="258" t="s">
        <v>861</v>
      </c>
      <c r="C42" s="500" t="s">
        <v>782</v>
      </c>
      <c r="D42" s="496">
        <f>SUM('VDOT VMT Totals'!E$32:E$33,'VDOT VMT Totals'!E$25)*0.975</f>
        <v>873028.10148978257</v>
      </c>
      <c r="E42" s="545">
        <f>F42*'Transportation Fuel Information'!$R$32</f>
        <v>23254.214450804498</v>
      </c>
      <c r="F42" s="551">
        <f>D42/4.99</f>
        <v>174955.53136067785</v>
      </c>
      <c r="G42" s="217">
        <v>10.210000000000001</v>
      </c>
      <c r="H42" s="269">
        <f t="shared" si="26"/>
        <v>1786295.975192521</v>
      </c>
      <c r="I42" s="217">
        <f>0.0051/1000</f>
        <v>5.1000000000000003E-6</v>
      </c>
      <c r="J42" s="272">
        <f t="shared" si="27"/>
        <v>4.4524433175978917</v>
      </c>
      <c r="K42" s="162">
        <f t="shared" si="28"/>
        <v>106.8586396223494</v>
      </c>
      <c r="L42" s="217">
        <f>0.0048/1000</f>
        <v>4.7999999999999998E-6</v>
      </c>
      <c r="M42" s="272">
        <f t="shared" si="29"/>
        <v>4.1905348871509558</v>
      </c>
      <c r="N42" s="162">
        <f t="shared" si="30"/>
        <v>1299.0658150167963</v>
      </c>
      <c r="O42" s="275">
        <f t="shared" si="31"/>
        <v>1787701.8996471602</v>
      </c>
    </row>
    <row r="43" spans="1:19">
      <c r="C43" s="167" t="s">
        <v>863</v>
      </c>
      <c r="D43" s="479">
        <f>SUM(D35:D42)</f>
        <v>170361067.3889586</v>
      </c>
      <c r="E43" s="545">
        <f>SUM(E35:E42)</f>
        <v>1018862.2917663176</v>
      </c>
      <c r="F43" s="281"/>
      <c r="G43" s="485"/>
      <c r="H43" s="282">
        <f t="shared" ref="H43" si="32">SUM(H35:H42)</f>
        <v>74793021.978990823</v>
      </c>
      <c r="I43" s="281"/>
      <c r="J43" s="281">
        <f t="shared" ref="J43:K43" si="33">SUM(J35:J42)</f>
        <v>4690.5614622232533</v>
      </c>
      <c r="K43" s="281">
        <f t="shared" si="33"/>
        <v>112573.47509335812</v>
      </c>
      <c r="L43" s="485"/>
      <c r="M43" s="281">
        <f t="shared" ref="M43:O43" si="34">SUM(M35:M42)</f>
        <v>5029.5308910236245</v>
      </c>
      <c r="N43" s="282">
        <f t="shared" si="34"/>
        <v>1559154.576217324</v>
      </c>
      <c r="O43" s="282">
        <f t="shared" si="34"/>
        <v>76464750.030301511</v>
      </c>
    </row>
    <row r="44" spans="1:19" s="697" customFormat="1">
      <c r="A44" s="185" t="s">
        <v>2061</v>
      </c>
      <c r="C44" s="627"/>
      <c r="D44" s="628"/>
      <c r="E44" s="628"/>
      <c r="F44" s="628"/>
      <c r="G44" s="628"/>
      <c r="H44" s="628"/>
      <c r="I44" s="628"/>
      <c r="J44" s="628"/>
      <c r="K44" s="628"/>
      <c r="L44" s="628"/>
      <c r="M44" s="628"/>
      <c r="N44" s="628"/>
      <c r="O44" s="628"/>
      <c r="S44"/>
    </row>
    <row r="45" spans="1:19" s="697" customFormat="1" ht="18">
      <c r="B45" s="2"/>
      <c r="D45" s="150"/>
      <c r="E45" s="698"/>
      <c r="F45" s="698"/>
      <c r="G45" s="1038" t="s">
        <v>774</v>
      </c>
      <c r="H45" s="1039"/>
      <c r="I45" s="1038" t="s">
        <v>775</v>
      </c>
      <c r="J45" s="1040"/>
      <c r="K45" s="1039"/>
      <c r="L45" s="1038" t="s">
        <v>776</v>
      </c>
      <c r="M45" s="1040"/>
      <c r="N45" s="1039"/>
      <c r="S45"/>
    </row>
    <row r="46" spans="1:19" s="697" customFormat="1" ht="30">
      <c r="A46" s="792" t="s">
        <v>58</v>
      </c>
      <c r="B46" s="793" t="s">
        <v>2065</v>
      </c>
      <c r="C46" s="794" t="s">
        <v>54</v>
      </c>
      <c r="D46" s="480" t="s">
        <v>2067</v>
      </c>
      <c r="E46" s="1049" t="s">
        <v>696</v>
      </c>
      <c r="F46" s="1050"/>
      <c r="G46" s="657" t="s">
        <v>777</v>
      </c>
      <c r="H46" s="656" t="s">
        <v>778</v>
      </c>
      <c r="I46" s="169" t="s">
        <v>777</v>
      </c>
      <c r="J46" s="168" t="s">
        <v>778</v>
      </c>
      <c r="K46" s="658" t="s">
        <v>780</v>
      </c>
      <c r="L46" s="657" t="s">
        <v>777</v>
      </c>
      <c r="M46" s="168" t="s">
        <v>778</v>
      </c>
      <c r="N46" s="658" t="s">
        <v>780</v>
      </c>
      <c r="O46" s="172" t="s">
        <v>779</v>
      </c>
    </row>
    <row r="47" spans="1:19" s="697" customFormat="1">
      <c r="A47" s="630" t="s">
        <v>2074</v>
      </c>
      <c r="B47" s="795" t="s">
        <v>2073</v>
      </c>
      <c r="C47" s="632" t="s">
        <v>2063</v>
      </c>
      <c r="D47" s="175">
        <f>'Wastewater Data'!H$7</f>
        <v>960930223</v>
      </c>
      <c r="E47" s="1029"/>
      <c r="F47" s="1030"/>
      <c r="G47" s="249"/>
      <c r="H47" s="178"/>
      <c r="I47" s="176"/>
      <c r="J47" s="155">
        <f>D47/36525*1.25*0.09*(1-0.325)*0.6*0.8*365.25</f>
        <v>350259.06628350005</v>
      </c>
      <c r="K47" s="161">
        <f>J47*24</f>
        <v>8406217.5908040013</v>
      </c>
      <c r="L47" s="176"/>
      <c r="M47" s="155"/>
      <c r="N47" s="161"/>
      <c r="O47" s="183">
        <f t="shared" ref="O47:O49" si="35">SUM(H47,K47,N47)</f>
        <v>8406217.5908040013</v>
      </c>
    </row>
    <row r="48" spans="1:19" s="697" customFormat="1">
      <c r="A48" s="165" t="s">
        <v>2069</v>
      </c>
      <c r="B48" s="153" t="s">
        <v>2070</v>
      </c>
      <c r="C48" s="156" t="s">
        <v>2063</v>
      </c>
      <c r="D48" s="175">
        <f>'Wastewater Data'!H$7</f>
        <v>960930223</v>
      </c>
      <c r="E48" s="1031"/>
      <c r="F48" s="1032"/>
      <c r="G48" s="249"/>
      <c r="H48" s="178"/>
      <c r="I48" s="176"/>
      <c r="J48" s="155"/>
      <c r="K48" s="161"/>
      <c r="L48" s="176"/>
      <c r="M48" s="155">
        <f>D48/36500*1.25*7/1000</f>
        <v>230.35998496575343</v>
      </c>
      <c r="N48" s="161">
        <f>M48*310</f>
        <v>71411.595339383566</v>
      </c>
      <c r="O48" s="183">
        <f t="shared" si="35"/>
        <v>71411.595339383566</v>
      </c>
    </row>
    <row r="49" spans="1:19" s="697" customFormat="1">
      <c r="A49" s="165" t="s">
        <v>2075</v>
      </c>
      <c r="B49" s="153" t="s">
        <v>2076</v>
      </c>
      <c r="C49" s="156" t="s">
        <v>2063</v>
      </c>
      <c r="D49" s="175">
        <f>'Wastewater Data'!H$7</f>
        <v>960930223</v>
      </c>
      <c r="E49" s="1031"/>
      <c r="F49" s="1032"/>
      <c r="G49" s="249"/>
      <c r="H49" s="178"/>
      <c r="I49" s="176"/>
      <c r="J49" s="155"/>
      <c r="K49" s="161"/>
      <c r="L49" s="176"/>
      <c r="M49" s="155">
        <f>D49/36525*1.25*0.026*0.005*0.005*44/28*(1-0.07)*365.25</f>
        <v>11.41018842471161</v>
      </c>
      <c r="N49" s="161">
        <f>M49*310</f>
        <v>3537.1584116605991</v>
      </c>
      <c r="O49" s="183">
        <f t="shared" si="35"/>
        <v>3537.1584116605991</v>
      </c>
    </row>
    <row r="50" spans="1:19" s="697" customFormat="1">
      <c r="A50" s="166" t="s">
        <v>2068</v>
      </c>
      <c r="B50" s="158" t="s">
        <v>2071</v>
      </c>
      <c r="C50" s="160" t="s">
        <v>2063</v>
      </c>
      <c r="D50" s="175">
        <f>'Wastewater Data'!H$7</f>
        <v>960930223</v>
      </c>
      <c r="E50" s="1033">
        <f>(D50*2000+D50*280)/1000000*3412.14/1000000</f>
        <v>7475.7288685244612</v>
      </c>
      <c r="F50" s="1034"/>
      <c r="G50" s="249">
        <f>'APCO Emission Factors'!I$4*0.454/3412.12*1000</f>
        <v>211.82373421802285</v>
      </c>
      <c r="H50" s="178">
        <f>G50*E50</f>
        <v>1583536.8049323261</v>
      </c>
      <c r="I50" s="176">
        <f>18.12*0.454/3412.12</f>
        <v>2.4109585829337776E-3</v>
      </c>
      <c r="J50" s="155">
        <f>I50*E50</f>
        <v>18.023672679254869</v>
      </c>
      <c r="K50" s="161">
        <f>J50*24</f>
        <v>432.56814430211682</v>
      </c>
      <c r="L50" s="176">
        <f>25.13*0.454/3412.12</f>
        <v>3.3436749000621316E-3</v>
      </c>
      <c r="M50" s="155">
        <f>L50*E50</f>
        <v>24.996406977355122</v>
      </c>
      <c r="N50" s="161">
        <f t="shared" ref="N50" si="36">M50*310</f>
        <v>7748.8861629800876</v>
      </c>
      <c r="O50" s="183">
        <f>SUM(H50,K50,N50)</f>
        <v>1591718.2592396082</v>
      </c>
    </row>
    <row r="51" spans="1:19" s="697" customFormat="1">
      <c r="C51" s="629" t="s">
        <v>863</v>
      </c>
      <c r="D51" s="479"/>
      <c r="E51" s="1033">
        <f>SUM(E50:E50)</f>
        <v>7475.7288685244612</v>
      </c>
      <c r="F51" s="1034"/>
      <c r="G51" s="653"/>
      <c r="H51" s="654">
        <f>SUM(H50:H50)</f>
        <v>1583536.8049323261</v>
      </c>
      <c r="I51" s="653"/>
      <c r="J51" s="281">
        <f>SUM(J50:J50)</f>
        <v>18.023672679254869</v>
      </c>
      <c r="K51" s="654">
        <f>SUM(K50:K50)</f>
        <v>432.56814430211682</v>
      </c>
      <c r="L51" s="653"/>
      <c r="M51" s="281">
        <f>SUM(M50:M50)</f>
        <v>24.996406977355122</v>
      </c>
      <c r="N51" s="654">
        <f>SUM(N50:N50)</f>
        <v>7748.8861629800876</v>
      </c>
      <c r="O51" s="654">
        <f>SUM(O47:O50)</f>
        <v>10072884.603794655</v>
      </c>
    </row>
    <row r="52" spans="1:19" s="697" customFormat="1">
      <c r="A52" s="185" t="s">
        <v>2247</v>
      </c>
      <c r="C52" s="627"/>
      <c r="D52" s="628"/>
      <c r="E52" s="628"/>
      <c r="F52" s="628"/>
      <c r="G52" s="628"/>
      <c r="H52" s="628"/>
      <c r="I52" s="628"/>
      <c r="J52" s="628"/>
      <c r="K52" s="628"/>
      <c r="L52" s="628"/>
      <c r="M52" s="628"/>
      <c r="N52" s="628"/>
      <c r="O52" s="628"/>
    </row>
    <row r="53" spans="1:19" s="697" customFormat="1" ht="18">
      <c r="B53" s="2"/>
      <c r="D53" s="150"/>
      <c r="E53" s="698"/>
      <c r="F53" s="698"/>
      <c r="G53" s="1038" t="s">
        <v>774</v>
      </c>
      <c r="H53" s="1039"/>
      <c r="I53" s="1038" t="s">
        <v>775</v>
      </c>
      <c r="J53" s="1040"/>
      <c r="K53" s="1039"/>
      <c r="L53" s="1038" t="s">
        <v>776</v>
      </c>
      <c r="M53" s="1040"/>
      <c r="N53" s="1039"/>
    </row>
    <row r="54" spans="1:19" s="697" customFormat="1" ht="32.25" customHeight="1">
      <c r="A54" s="172" t="s">
        <v>58</v>
      </c>
      <c r="B54" s="655" t="s">
        <v>2065</v>
      </c>
      <c r="C54" s="168" t="s">
        <v>54</v>
      </c>
      <c r="D54" s="480" t="s">
        <v>2244</v>
      </c>
      <c r="E54" s="1027" t="s">
        <v>696</v>
      </c>
      <c r="F54" s="1028"/>
      <c r="G54" s="49" t="s">
        <v>777</v>
      </c>
      <c r="H54" s="873" t="s">
        <v>778</v>
      </c>
      <c r="I54" s="49" t="s">
        <v>777</v>
      </c>
      <c r="J54" s="873" t="s">
        <v>778</v>
      </c>
      <c r="K54" s="873" t="s">
        <v>780</v>
      </c>
      <c r="L54" s="49" t="s">
        <v>777</v>
      </c>
      <c r="M54" s="794" t="s">
        <v>778</v>
      </c>
      <c r="N54" s="873" t="s">
        <v>780</v>
      </c>
      <c r="O54" s="172" t="s">
        <v>779</v>
      </c>
    </row>
    <row r="55" spans="1:19" s="697" customFormat="1">
      <c r="A55" s="630" t="s">
        <v>2170</v>
      </c>
      <c r="B55" s="631" t="s">
        <v>2171</v>
      </c>
      <c r="C55" s="632" t="s">
        <v>2077</v>
      </c>
      <c r="D55" s="490">
        <f>'Solid Waste Calculations'!B$13</f>
        <v>18016.178467607835</v>
      </c>
      <c r="E55" s="1029"/>
      <c r="F55" s="1030"/>
      <c r="G55" s="497"/>
      <c r="H55" s="498">
        <f>G55*E55</f>
        <v>0</v>
      </c>
      <c r="I55" s="874"/>
      <c r="J55" s="875">
        <f>(1-0.75)*(1-0.1)*D55*0.06</f>
        <v>243.21840931270577</v>
      </c>
      <c r="K55" s="271">
        <f>J55*24</f>
        <v>5837.241823504939</v>
      </c>
      <c r="L55" s="874"/>
      <c r="M55" s="875"/>
      <c r="N55" s="271"/>
      <c r="O55" s="183">
        <f>SUM(H55,K55,N55)</f>
        <v>5837.241823504939</v>
      </c>
    </row>
    <row r="56" spans="1:19" s="697" customFormat="1">
      <c r="A56" s="165" t="s">
        <v>2074</v>
      </c>
      <c r="B56" s="152" t="s">
        <v>2245</v>
      </c>
      <c r="C56" s="156" t="s">
        <v>2077</v>
      </c>
      <c r="D56" s="490">
        <f>'Solid Waste Calculations'!B$13</f>
        <v>18016.178467607835</v>
      </c>
      <c r="E56" s="1031"/>
      <c r="F56" s="1032"/>
      <c r="G56" s="492"/>
      <c r="H56" s="178">
        <f>D56*0.0164*1000</f>
        <v>295465.32686876849</v>
      </c>
      <c r="I56" s="876"/>
      <c r="J56" s="155"/>
      <c r="K56" s="161"/>
      <c r="L56" s="876"/>
      <c r="M56" s="155"/>
      <c r="N56" s="161"/>
      <c r="O56" s="183">
        <f t="shared" ref="O56:O57" si="37">SUM(H56,K56,N56)</f>
        <v>295465.32686876849</v>
      </c>
    </row>
    <row r="57" spans="1:19" s="697" customFormat="1">
      <c r="A57" s="166" t="s">
        <v>2069</v>
      </c>
      <c r="B57" s="157" t="s">
        <v>2246</v>
      </c>
      <c r="C57" s="160" t="s">
        <v>2077</v>
      </c>
      <c r="D57" s="490">
        <f>'Solid Waste Calculations'!B$13</f>
        <v>18016.178467607835</v>
      </c>
      <c r="E57" s="1033"/>
      <c r="F57" s="1034"/>
      <c r="G57" s="493"/>
      <c r="H57" s="179">
        <f>D57*4*0.00014*1000</f>
        <v>10089.059941860385</v>
      </c>
      <c r="I57" s="877"/>
      <c r="J57" s="159"/>
      <c r="K57" s="162"/>
      <c r="L57" s="877"/>
      <c r="M57" s="159"/>
      <c r="N57" s="162"/>
      <c r="O57" s="183">
        <f t="shared" si="37"/>
        <v>10089.059941860385</v>
      </c>
    </row>
    <row r="58" spans="1:19" s="697" customFormat="1">
      <c r="C58" s="629" t="s">
        <v>863</v>
      </c>
      <c r="D58" s="479"/>
      <c r="E58" s="1025">
        <f>SUM(E55:E57)</f>
        <v>0</v>
      </c>
      <c r="F58" s="1026"/>
      <c r="G58" s="653"/>
      <c r="H58" s="654">
        <f>SUM(H55:H57)</f>
        <v>305554.38681062887</v>
      </c>
      <c r="I58" s="653"/>
      <c r="J58" s="281">
        <f>SUM(J55:J57)</f>
        <v>243.21840931270577</v>
      </c>
      <c r="K58" s="654">
        <f>SUM(K55:K57)</f>
        <v>5837.241823504939</v>
      </c>
      <c r="L58" s="653"/>
      <c r="M58" s="281"/>
      <c r="N58" s="654"/>
      <c r="O58" s="654">
        <f>SUM(O55:O57)</f>
        <v>311391.62863413378</v>
      </c>
    </row>
    <row r="59" spans="1:19" ht="15.75" thickBot="1">
      <c r="E59" s="150"/>
      <c r="F59" s="55"/>
      <c r="S59" s="697"/>
    </row>
    <row r="60" spans="1:19" ht="15.75" thickBot="1">
      <c r="C60" s="276"/>
      <c r="E60" s="150"/>
      <c r="F60" s="247"/>
      <c r="G60" s="277" t="s">
        <v>864</v>
      </c>
      <c r="H60" s="278">
        <f>SUM(H43,H31,H17,H10)</f>
        <v>311860641.25678831</v>
      </c>
      <c r="I60" s="279"/>
      <c r="J60" s="278">
        <f>SUM(J43,J31,J17,J10)</f>
        <v>10372.746517372208</v>
      </c>
      <c r="K60" s="278">
        <f>SUM(K43,K31,K17,K10)</f>
        <v>248945.91641693297</v>
      </c>
      <c r="L60" s="279"/>
      <c r="M60" s="278">
        <f>SUM(M43,M31,M17,M10)</f>
        <v>8030.3049681458679</v>
      </c>
      <c r="N60" s="278">
        <f>SUM(N43,N31,N17,N10)</f>
        <v>2489394.540125221</v>
      </c>
      <c r="O60" s="280">
        <f>SUM(O43,O31,O17,O10)</f>
        <v>314598981.71333033</v>
      </c>
      <c r="S60" s="697"/>
    </row>
    <row r="61" spans="1:19" s="697" customFormat="1">
      <c r="C61" s="276"/>
      <c r="D61" s="150"/>
      <c r="E61" s="150"/>
      <c r="F61" s="247"/>
      <c r="G61" s="751"/>
      <c r="H61" s="719"/>
      <c r="I61" s="751"/>
      <c r="J61" s="719"/>
      <c r="K61" s="719"/>
      <c r="L61" s="751"/>
      <c r="M61" s="719"/>
      <c r="N61" s="719"/>
      <c r="O61" s="719"/>
    </row>
    <row r="62" spans="1:19" ht="30">
      <c r="A62" s="878" t="s">
        <v>868</v>
      </c>
      <c r="B62" s="1015" t="s">
        <v>970</v>
      </c>
      <c r="C62" s="985" t="s">
        <v>2530</v>
      </c>
    </row>
    <row r="63" spans="1:19">
      <c r="A63" s="56" t="s">
        <v>55</v>
      </c>
      <c r="B63" s="1016">
        <f>SUM(E6,E14:F16,E21,E27)</f>
        <v>784081.83109018579</v>
      </c>
      <c r="C63" s="273">
        <f>SUM(O6,O14,O15,O16,O21,O27)</f>
        <v>121672021.07073864</v>
      </c>
    </row>
    <row r="64" spans="1:19">
      <c r="A64" s="879" t="s">
        <v>56</v>
      </c>
      <c r="B64" s="1017">
        <f>SUM(E7,E22,E28)</f>
        <v>415468.05896383006</v>
      </c>
      <c r="C64" s="274">
        <f>SUM(O22,O28,O7)</f>
        <v>61173438.77153001</v>
      </c>
    </row>
    <row r="65" spans="1:3">
      <c r="A65" s="879" t="s">
        <v>57</v>
      </c>
      <c r="B65" s="1017">
        <f>SUM(E8,E23,E29)</f>
        <v>365744.21001444</v>
      </c>
      <c r="C65" s="274">
        <f>SUM(O8,O23,O29)</f>
        <v>40402692.28173209</v>
      </c>
    </row>
    <row r="66" spans="1:3">
      <c r="A66" s="879" t="s">
        <v>2267</v>
      </c>
      <c r="B66" s="1017">
        <f>SUM(E9,E25,E30)</f>
        <v>91649.654160257196</v>
      </c>
      <c r="C66" s="274">
        <f>SUM(O9,O25,O30)</f>
        <v>14886079.559028149</v>
      </c>
    </row>
    <row r="67" spans="1:3">
      <c r="A67" s="879" t="s">
        <v>782</v>
      </c>
      <c r="B67" s="1017">
        <f>SUM(E35:E42)</f>
        <v>1018862.2917663176</v>
      </c>
      <c r="C67" s="274">
        <f>SUM(O35:O42)</f>
        <v>76464750.030301511</v>
      </c>
    </row>
    <row r="68" spans="1:3">
      <c r="A68" s="880" t="s">
        <v>2248</v>
      </c>
      <c r="B68" s="1018">
        <f>SUM(E50)</f>
        <v>7475.7288685244612</v>
      </c>
      <c r="C68" s="274">
        <f>O51</f>
        <v>10072884.603794655</v>
      </c>
    </row>
    <row r="69" spans="1:3">
      <c r="A69" s="881" t="s">
        <v>2077</v>
      </c>
      <c r="B69" s="881"/>
      <c r="C69" s="275">
        <f>O58</f>
        <v>311391.62863413378</v>
      </c>
    </row>
    <row r="70" spans="1:3">
      <c r="A70" s="697"/>
      <c r="B70" s="697"/>
      <c r="C70" s="697"/>
    </row>
    <row r="71" spans="1:3" ht="30">
      <c r="A71" s="1021" t="s">
        <v>2101</v>
      </c>
      <c r="B71" s="942" t="s">
        <v>970</v>
      </c>
      <c r="C71" s="986" t="s">
        <v>2530</v>
      </c>
    </row>
    <row r="72" spans="1:3">
      <c r="A72" s="1019" t="s">
        <v>2</v>
      </c>
      <c r="B72" s="274">
        <f>SUM(E6:F9)</f>
        <v>758175.85446039995</v>
      </c>
      <c r="C72" s="1022">
        <f>SUM(O6:O9)</f>
        <v>40200868.953624472</v>
      </c>
    </row>
    <row r="73" spans="1:3">
      <c r="A73" s="1019" t="s">
        <v>2531</v>
      </c>
      <c r="B73" s="274">
        <f>SUM(E14:F16)</f>
        <v>33545.4</v>
      </c>
      <c r="C73" s="1022">
        <f>SUM(O14:O16)</f>
        <v>2544939.8542318833</v>
      </c>
    </row>
    <row r="74" spans="1:3">
      <c r="A74" s="1019" t="s">
        <v>588</v>
      </c>
      <c r="B74" s="274">
        <f>SUM(E21:F23,E25:F30,E50)</f>
        <v>872698.22863683745</v>
      </c>
      <c r="C74" s="1022">
        <f>SUM(O31,O50)</f>
        <v>196980141.13441205</v>
      </c>
    </row>
    <row r="75" spans="1:3">
      <c r="A75" s="1020" t="s">
        <v>2532</v>
      </c>
      <c r="B75" s="275">
        <f>SUM(E35:E42)</f>
        <v>1018862.2917663176</v>
      </c>
      <c r="C75" s="890">
        <f>SUM(O35:O42)</f>
        <v>76464750.030301511</v>
      </c>
    </row>
  </sheetData>
  <mergeCells count="51">
    <mergeCell ref="E55:F55"/>
    <mergeCell ref="E56:F56"/>
    <mergeCell ref="E57:F57"/>
    <mergeCell ref="E58:F58"/>
    <mergeCell ref="E51:F51"/>
    <mergeCell ref="G53:H53"/>
    <mergeCell ref="I53:K53"/>
    <mergeCell ref="L53:N53"/>
    <mergeCell ref="E54:F54"/>
    <mergeCell ref="E46:F46"/>
    <mergeCell ref="E47:F47"/>
    <mergeCell ref="E48:F48"/>
    <mergeCell ref="E49:F49"/>
    <mergeCell ref="E50:F50"/>
    <mergeCell ref="E30:F30"/>
    <mergeCell ref="E31:F31"/>
    <mergeCell ref="G45:H45"/>
    <mergeCell ref="I45:K45"/>
    <mergeCell ref="L45:N45"/>
    <mergeCell ref="E24:F24"/>
    <mergeCell ref="E25:F25"/>
    <mergeCell ref="E27:F27"/>
    <mergeCell ref="E28:F28"/>
    <mergeCell ref="E29:F29"/>
    <mergeCell ref="E17:F17"/>
    <mergeCell ref="E20:F20"/>
    <mergeCell ref="E21:F21"/>
    <mergeCell ref="E22:F22"/>
    <mergeCell ref="E23:F23"/>
    <mergeCell ref="E10:F10"/>
    <mergeCell ref="E13:F13"/>
    <mergeCell ref="E14:F14"/>
    <mergeCell ref="E15:F15"/>
    <mergeCell ref="E16:F16"/>
    <mergeCell ref="E5:F5"/>
    <mergeCell ref="E6:F6"/>
    <mergeCell ref="E7:F7"/>
    <mergeCell ref="E8:F8"/>
    <mergeCell ref="E9:F9"/>
    <mergeCell ref="G4:H4"/>
    <mergeCell ref="I4:K4"/>
    <mergeCell ref="L4:N4"/>
    <mergeCell ref="G12:H12"/>
    <mergeCell ref="I12:K12"/>
    <mergeCell ref="L12:N12"/>
    <mergeCell ref="G19:H19"/>
    <mergeCell ref="I19:K19"/>
    <mergeCell ref="L19:N19"/>
    <mergeCell ref="G33:H33"/>
    <mergeCell ref="I33:K33"/>
    <mergeCell ref="L33:N33"/>
  </mergeCells>
  <hyperlinks>
    <hyperlink ref="D5" location="'ATMOS NG Calculations'!A1" tooltip="ATMOS NG Calculations" display="Quantity (Mcf)"/>
    <hyperlink ref="E5" location="'Natural Gas Energy Content'!A1" tooltip="Natural Gas Energy Content" display="Energy Quantity (MMBtu)"/>
    <hyperlink ref="G5" location="'Default Emissions Factors'!A1" tooltip="Default Emissions Factors" display="CO2 Emission Coefficient"/>
    <hyperlink ref="E13" location="'BE.1.2 Calculations'!A1" tooltip="BE.1.2 Calculations" display="Energy Quantity (MMBtu)"/>
    <hyperlink ref="D20" location="'2006 - 2009 APCO Billed kWh''s'!A1" tooltip="APCO Billed kWh's" display="Quantity (kWh)"/>
    <hyperlink ref="I5" location="'Default Emissions Factors'!A1" tooltip="Default Emissions Factors" display="Coefficient (kg/MMBtu)"/>
    <hyperlink ref="L5" location="'Default Emissions Factors'!A1" tooltip="Default Emissions Factors" display="CO2 Emission Coefficient"/>
    <hyperlink ref="G13" location="'Default Emissions Factors'!A1" tooltip="Default Emissions Factors" display="CO2 Emission Coefficient"/>
    <hyperlink ref="I13" location="'Default Emissions Factors'!A1" tooltip="Default Emissions Factors" display="CO2 Emission Coefficient"/>
    <hyperlink ref="G20" location="'APCO Emission Factors'!A1" tooltip="APCO Emission Factors" display="Coefficient (kg/MMBtu)"/>
    <hyperlink ref="I20" location="'Default Emissions Factors'!A1" tooltip="Default Emissions Factors" display="Coefficient (kg/MMBtu)"/>
    <hyperlink ref="L13" location="'Default Emissions Factors'!A1" tooltip="Default Emissions Factors" display="CO2 Emission Coefficient"/>
    <hyperlink ref="L20" location="'Default Emissions Factors'!A1" tooltip="Default Emissions Factors" display="CO2 Emission Coefficient"/>
    <hyperlink ref="K5" location="'Global Warming Potentials'!A1" tooltip="Global Warming Potentials" display="CO2 Equivalent (kg)"/>
    <hyperlink ref="K13" location="'Global Warming Potentials'!A1" tooltip="Global Warming Potentials" display="CO2 Equivalent (kg)"/>
    <hyperlink ref="K20" location="'Global Warming Potentials'!A1" tooltip="Global Warming Potentials" display="CO2 Equivalent (kg)"/>
    <hyperlink ref="N20" location="'Global Warming Potentials'!A1" tooltip="Global Warming Potentials" display="CO2 Equivalent (kg)"/>
    <hyperlink ref="N13" location="'Global Warming Potentials'!A1" tooltip="Global Warming Potentials" display="CO2 Equivalent (kg)"/>
    <hyperlink ref="N5" location="'Global Warming Potentials'!A1" tooltip="Global Warming Potentials" display="CO2 Equivalent (kg)"/>
    <hyperlink ref="D34" location="'VDOT VMT Totals'!A1" tooltip="VDOT VMT Totals" display="Quantity (VMT)"/>
    <hyperlink ref="G34" location="'Vehicle Emission Factors'!A1" tooltip="Vehicle Emission Factors" display="Coefficient (kg/gallon)"/>
    <hyperlink ref="I34" location="'Vehicle Emission Factors'!A1" tooltip="Vehicle Emission Factors" display="Coefficient (kg/VMT)"/>
    <hyperlink ref="L34" location="'Vehicle Emission Factors'!A1" tooltip="Vehicle Emission Factors" display="Coefficient (kg/MMBtu)"/>
    <hyperlink ref="K34" location="'Global Warming Potentials'!A1" tooltip="Global Warming Potentials" display="CO2 Equivalent (kg)"/>
    <hyperlink ref="N34" location="'Global Warming Potentials'!A1" tooltip="Global Warming Potentials" display="CO2 Equivalent (kg)"/>
    <hyperlink ref="F34" location="'Vehicle Fuel Efficiency'!A1" tooltip="Vehicle Fuel Efficiency" display="Energy Quantity (Gallons)"/>
    <hyperlink ref="E34" location="'Transportation Fuel Information'!A1" tooltip="Transportation Fuel Information" display="Energy Quantity (MMBtu)"/>
    <hyperlink ref="G46" location="'APCO Emission Factors'!A1" tooltip="APCO Emission Factors" display="Coefficient (kg/MMBtu)"/>
    <hyperlink ref="L46" location="'Default Emissions Factors'!A1" tooltip="Default Emissions Factors" display="CO2 Emission Coefficient"/>
    <hyperlink ref="D46" location="'Wastewater Data'!A1" tooltip="Wastewater Data" display="Quantity (Gal)"/>
    <hyperlink ref="N46" location="'Global Warming Potentials'!A1" tooltip="Global Warming Potentials" display="CO2 Equivalent (kg)"/>
    <hyperlink ref="K46" location="'Global Warming Potentials'!A1" tooltip="Global Warming Potentials" display="CO2 Equivalent (kg)"/>
    <hyperlink ref="I46" location="'Default Emissions Factors'!A1" tooltip="Default Emissions Factors" display="Coefficient (kg/MMBtu)"/>
    <hyperlink ref="D54" location="'Solid Waste Calculations'!A1" tooltip="Solid Waste Calculations" display="Quantity (Gal)"/>
    <hyperlink ref="N54" location="'Global Warming Potentials'!A1" tooltip="Global Warming Potentials" display="CO2 Equivalent (kg)"/>
    <hyperlink ref="K54" location="'Global Warming Potentials'!A1" tooltip="Global Warming Potentials" display="CO2 Equivalent (kg)"/>
    <hyperlink ref="H54" location="'Solid Waste Coefficients'!A1" tooltip="Solid Waste Coefficients" display="Quantity (kg)"/>
    <hyperlink ref="J54" location="'Solid Waste Coefficients'!A1" tooltip="Solid Waste Coefficients" display="Quantity (kg)"/>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61</vt:i4>
      </vt:variant>
    </vt:vector>
  </HeadingPairs>
  <TitlesOfParts>
    <vt:vector size="61" baseType="lpstr">
      <vt:lpstr>2006 - 2012 Emissions Overview</vt:lpstr>
      <vt:lpstr>2006 - 2012 Energy Use Overview</vt:lpstr>
      <vt:lpstr>2012 Inventory</vt:lpstr>
      <vt:lpstr>2011 Inventory</vt:lpstr>
      <vt:lpstr>2010 Inventory</vt:lpstr>
      <vt:lpstr>2009 Inventory</vt:lpstr>
      <vt:lpstr>2008 Inventory</vt:lpstr>
      <vt:lpstr>2007 Inventory</vt:lpstr>
      <vt:lpstr>2006 Inventory</vt:lpstr>
      <vt:lpstr>Virginia Tech Energy Data</vt:lpstr>
      <vt:lpstr>Inn at Virginia Tech NG Usage</vt:lpstr>
      <vt:lpstr>VT GHG Inventory 2005-2009</vt:lpstr>
      <vt:lpstr>EIA Natural Gas by Sector</vt:lpstr>
      <vt:lpstr>ATMOS NG Calculations</vt:lpstr>
      <vt:lpstr>2012 ATMOS NG Billed Volumes</vt:lpstr>
      <vt:lpstr>2011 ATMOS NG Billed Volumes</vt:lpstr>
      <vt:lpstr>2010 ATMOS NG Billed Volumes</vt:lpstr>
      <vt:lpstr>2009 ATMOS NG Billed Volumes</vt:lpstr>
      <vt:lpstr>2008 ATMOS NG Billed Volumes</vt:lpstr>
      <vt:lpstr>2007 ATMOS NG Billed Volumes</vt:lpstr>
      <vt:lpstr>2006 ATMOS NG Billed Volumes</vt:lpstr>
      <vt:lpstr>Default Emissions Factors</vt:lpstr>
      <vt:lpstr>Natural Gas Energy Content</vt:lpstr>
      <vt:lpstr>ACS 2011 Housing Statistics</vt:lpstr>
      <vt:lpstr>ACS 2010 Housing Statistics</vt:lpstr>
      <vt:lpstr>ACS 2009 Housing Statistics</vt:lpstr>
      <vt:lpstr>ACS 2008 Housing Statistics</vt:lpstr>
      <vt:lpstr>ACS 2007 Housing Statistics</vt:lpstr>
      <vt:lpstr>EIA Fuels Used in Homes</vt:lpstr>
      <vt:lpstr>EIA Residential Use Estimates</vt:lpstr>
      <vt:lpstr>BE.1.2 Calculations</vt:lpstr>
      <vt:lpstr>2010 - 2012 APCO Billed kWh's</vt:lpstr>
      <vt:lpstr>2006 - 2009 APCO Billed kWh's</vt:lpstr>
      <vt:lpstr>APCO Emission Factors</vt:lpstr>
      <vt:lpstr>ToB Utility Bills</vt:lpstr>
      <vt:lpstr>2012 VTES Billed kWh's</vt:lpstr>
      <vt:lpstr>2011 VTES Billed kWh's</vt:lpstr>
      <vt:lpstr>2010 VTES Billed kWh's</vt:lpstr>
      <vt:lpstr>2009 VTES Billed kWh's</vt:lpstr>
      <vt:lpstr>2008 VTES Billed kWh's</vt:lpstr>
      <vt:lpstr>2007 VTES Billed kWh's</vt:lpstr>
      <vt:lpstr>2006 VTES Billed kWh's</vt:lpstr>
      <vt:lpstr>Global Warming Potentials</vt:lpstr>
      <vt:lpstr>Vehicle Fuel Efficiency</vt:lpstr>
      <vt:lpstr>Vehicle Emission Factors</vt:lpstr>
      <vt:lpstr>VDOT VMT Totals</vt:lpstr>
      <vt:lpstr>Transportation Projections</vt:lpstr>
      <vt:lpstr>Transportation Fuel Information</vt:lpstr>
      <vt:lpstr>Wastewater Data</vt:lpstr>
      <vt:lpstr>Wastewater Coefficients</vt:lpstr>
      <vt:lpstr>Solid Waste Calculations</vt:lpstr>
      <vt:lpstr>2012 Bburg DEQ Report</vt:lpstr>
      <vt:lpstr>2011 Bburg DEQ Report</vt:lpstr>
      <vt:lpstr>2010 Bburg DEQ Report</vt:lpstr>
      <vt:lpstr>2009 Bburg DEQ Report</vt:lpstr>
      <vt:lpstr>2008 Bburg DEQ Report</vt:lpstr>
      <vt:lpstr>2007 Bburg DEQ Report</vt:lpstr>
      <vt:lpstr>2006 Bburg DEQ Report</vt:lpstr>
      <vt:lpstr>Solid Waste Coefficients</vt:lpstr>
      <vt:lpstr>Assumptions and Methodology</vt:lpstr>
      <vt:lpstr>Sheet2</vt:lpstr>
    </vt:vector>
  </TitlesOfParts>
  <Company>Hewlett-Packard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dc:creator>
  <cp:lastModifiedBy>Joe</cp:lastModifiedBy>
  <cp:lastPrinted>2013-06-20T18:19:34Z</cp:lastPrinted>
  <dcterms:created xsi:type="dcterms:W3CDTF">2013-06-18T13:46:24Z</dcterms:created>
  <dcterms:modified xsi:type="dcterms:W3CDTF">2013-08-21T18:21:51Z</dcterms:modified>
</cp:coreProperties>
</file>