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V81" i="1"/>
  <c r="AI141"/>
  <c r="AH141"/>
  <c r="AG141"/>
  <c r="AF141"/>
  <c r="AI113"/>
  <c r="AH113"/>
  <c r="AG113"/>
  <c r="AF113"/>
  <c r="AG85"/>
  <c r="AH85"/>
  <c r="AI85"/>
  <c r="AF85"/>
  <c r="AI135"/>
  <c r="AH135"/>
  <c r="AG135"/>
  <c r="AF135"/>
  <c r="AE135"/>
  <c r="AI134"/>
  <c r="AI136" s="1"/>
  <c r="AH134"/>
  <c r="AH136" s="1"/>
  <c r="AG134"/>
  <c r="AG136" s="1"/>
  <c r="AF134"/>
  <c r="AF136" s="1"/>
  <c r="AE134"/>
  <c r="AE136" s="1"/>
  <c r="AI107"/>
  <c r="AH107"/>
  <c r="AG107"/>
  <c r="AF107"/>
  <c r="AE107"/>
  <c r="AI106"/>
  <c r="AI108" s="1"/>
  <c r="AH106"/>
  <c r="AH108" s="1"/>
  <c r="AG106"/>
  <c r="AG108" s="1"/>
  <c r="AF106"/>
  <c r="AF108" s="1"/>
  <c r="AE106"/>
  <c r="AE108" s="1"/>
  <c r="AE79"/>
  <c r="AF79"/>
  <c r="AG79"/>
  <c r="AH79"/>
  <c r="AI79"/>
  <c r="AF78"/>
  <c r="AG78"/>
  <c r="AH78"/>
  <c r="AI78"/>
  <c r="AE78"/>
  <c r="AI140"/>
  <c r="AH140"/>
  <c r="AG140"/>
  <c r="AF140"/>
  <c r="AI112"/>
  <c r="AH112"/>
  <c r="AG112"/>
  <c r="AF112"/>
  <c r="AG84"/>
  <c r="AH84"/>
  <c r="AI84"/>
  <c r="AF84"/>
  <c r="AI80"/>
  <c r="AH80"/>
  <c r="AG80"/>
  <c r="AF80"/>
  <c r="AE80"/>
  <c r="AB141" l="1"/>
  <c r="AA141"/>
  <c r="Z141"/>
  <c r="Y141"/>
  <c r="AB140"/>
  <c r="AA140"/>
  <c r="Z140"/>
  <c r="Y140"/>
  <c r="AB113"/>
  <c r="AA113"/>
  <c r="Z113"/>
  <c r="Y113"/>
  <c r="AB112"/>
  <c r="AA112"/>
  <c r="Z112"/>
  <c r="Y112"/>
  <c r="Z85"/>
  <c r="AA85"/>
  <c r="AB85"/>
  <c r="Y85"/>
  <c r="Z84"/>
  <c r="AA84"/>
  <c r="AB84"/>
  <c r="Y84"/>
  <c r="AG122" l="1"/>
  <c r="AF122"/>
  <c r="AE122"/>
  <c r="AD122"/>
  <c r="AC122"/>
  <c r="AB122" s="1"/>
  <c r="X122"/>
  <c r="W122" s="1"/>
  <c r="S122"/>
  <c r="R122" s="1"/>
  <c r="AG121"/>
  <c r="AF121"/>
  <c r="AE121"/>
  <c r="AD121"/>
  <c r="AC121"/>
  <c r="AB121" s="1"/>
  <c r="X121"/>
  <c r="W121" s="1"/>
  <c r="S121"/>
  <c r="R121" s="1"/>
  <c r="AG120"/>
  <c r="AF120"/>
  <c r="AE120"/>
  <c r="AD120"/>
  <c r="AC120"/>
  <c r="AB120" s="1"/>
  <c r="X120"/>
  <c r="W120" s="1"/>
  <c r="S120"/>
  <c r="R120" s="1"/>
  <c r="AG119"/>
  <c r="AF119"/>
  <c r="AE119"/>
  <c r="AD119"/>
  <c r="AC119"/>
  <c r="AB119" s="1"/>
  <c r="X119"/>
  <c r="W119" s="1"/>
  <c r="S119"/>
  <c r="R119" s="1"/>
  <c r="AG118"/>
  <c r="AF118"/>
  <c r="AE118"/>
  <c r="AD118"/>
  <c r="AC118"/>
  <c r="AB118" s="1"/>
  <c r="X118"/>
  <c r="W118" s="1"/>
  <c r="S118"/>
  <c r="R118" s="1"/>
  <c r="AG94"/>
  <c r="AF94"/>
  <c r="AE94"/>
  <c r="AD94"/>
  <c r="AC94"/>
  <c r="AB94" s="1"/>
  <c r="X94"/>
  <c r="W94" s="1"/>
  <c r="S94"/>
  <c r="R94" s="1"/>
  <c r="AG93"/>
  <c r="AF93"/>
  <c r="AE93"/>
  <c r="AD93"/>
  <c r="AC93"/>
  <c r="AB93" s="1"/>
  <c r="X93"/>
  <c r="W93" s="1"/>
  <c r="S93"/>
  <c r="R93" s="1"/>
  <c r="AG92"/>
  <c r="AF92"/>
  <c r="AE92"/>
  <c r="AD92"/>
  <c r="AC92"/>
  <c r="AB92" s="1"/>
  <c r="X92"/>
  <c r="W92" s="1"/>
  <c r="S92"/>
  <c r="R92" s="1"/>
  <c r="AG91"/>
  <c r="AF91"/>
  <c r="AE91"/>
  <c r="AD91"/>
  <c r="AC91"/>
  <c r="AB91" s="1"/>
  <c r="X91"/>
  <c r="W91" s="1"/>
  <c r="S91"/>
  <c r="R91" s="1"/>
  <c r="AG90"/>
  <c r="AF90"/>
  <c r="AE90"/>
  <c r="AD90"/>
  <c r="AC90"/>
  <c r="AB90" s="1"/>
  <c r="X90"/>
  <c r="W90" s="1"/>
  <c r="S90"/>
  <c r="R90" s="1"/>
  <c r="AC63"/>
  <c r="Z63" s="1"/>
  <c r="AC64"/>
  <c r="Y64" s="1"/>
  <c r="AC65"/>
  <c r="Z65" s="1"/>
  <c r="AC66"/>
  <c r="Y66" s="1"/>
  <c r="X63"/>
  <c r="T63" s="1"/>
  <c r="X64"/>
  <c r="U64" s="1"/>
  <c r="X65"/>
  <c r="U65" s="1"/>
  <c r="X66"/>
  <c r="U66" s="1"/>
  <c r="AC62"/>
  <c r="Y62" s="1"/>
  <c r="X62"/>
  <c r="T62" s="1"/>
  <c r="S63"/>
  <c r="P63" s="1"/>
  <c r="S64"/>
  <c r="P64" s="1"/>
  <c r="S65"/>
  <c r="P65" s="1"/>
  <c r="S66"/>
  <c r="O66" s="1"/>
  <c r="S62"/>
  <c r="O62" s="1"/>
  <c r="Q63"/>
  <c r="O65"/>
  <c r="U62"/>
  <c r="T65"/>
  <c r="W64"/>
  <c r="Y63"/>
  <c r="AA65"/>
  <c r="AB63"/>
  <c r="AD62"/>
  <c r="AE62"/>
  <c r="AF62"/>
  <c r="AD63"/>
  <c r="AE63"/>
  <c r="AF63"/>
  <c r="AD64"/>
  <c r="AE64"/>
  <c r="AF64"/>
  <c r="AD65"/>
  <c r="AE65"/>
  <c r="AF65"/>
  <c r="AD66"/>
  <c r="AE66"/>
  <c r="AF66"/>
  <c r="AG63"/>
  <c r="AG64"/>
  <c r="AG65"/>
  <c r="AG66"/>
  <c r="AG62"/>
  <c r="O92" l="1"/>
  <c r="Z66"/>
  <c r="Z64"/>
  <c r="W62"/>
  <c r="T66"/>
  <c r="V64"/>
  <c r="Z94"/>
  <c r="O122"/>
  <c r="W66"/>
  <c r="V66"/>
  <c r="T64"/>
  <c r="P66"/>
  <c r="O64"/>
  <c r="Y92"/>
  <c r="P122"/>
  <c r="T93"/>
  <c r="U118"/>
  <c r="T90"/>
  <c r="T91"/>
  <c r="Z91"/>
  <c r="T92"/>
  <c r="Z122"/>
  <c r="Z92"/>
  <c r="V93"/>
  <c r="Y93"/>
  <c r="P94"/>
  <c r="T94"/>
  <c r="P121"/>
  <c r="T121"/>
  <c r="Z121"/>
  <c r="Q122"/>
  <c r="T122"/>
  <c r="V90"/>
  <c r="Y90"/>
  <c r="P91"/>
  <c r="AB62"/>
  <c r="Y65"/>
  <c r="AA63"/>
  <c r="Z62"/>
  <c r="V65"/>
  <c r="U63"/>
  <c r="R63"/>
  <c r="Q65"/>
  <c r="O63"/>
  <c r="O90"/>
  <c r="U92"/>
  <c r="U94"/>
  <c r="Y94"/>
  <c r="AA94"/>
  <c r="O118"/>
  <c r="T118"/>
  <c r="V118"/>
  <c r="U119"/>
  <c r="Y119"/>
  <c r="O120"/>
  <c r="U120"/>
  <c r="U122"/>
  <c r="Y122"/>
  <c r="AA122"/>
  <c r="P92"/>
  <c r="V92"/>
  <c r="AA92"/>
  <c r="P93"/>
  <c r="AA93"/>
  <c r="O94"/>
  <c r="Q94"/>
  <c r="V94"/>
  <c r="Z119"/>
  <c r="Z120"/>
  <c r="Q90"/>
  <c r="AA90"/>
  <c r="O91"/>
  <c r="Q91"/>
  <c r="Y118"/>
  <c r="P119"/>
  <c r="V121"/>
  <c r="V122"/>
  <c r="AB65"/>
  <c r="AA62"/>
  <c r="R62"/>
  <c r="W65"/>
  <c r="W63"/>
  <c r="V63"/>
  <c r="R65"/>
  <c r="P62"/>
  <c r="U90"/>
  <c r="U91"/>
  <c r="Y91"/>
  <c r="AA91"/>
  <c r="U93"/>
  <c r="Q118"/>
  <c r="Z118"/>
  <c r="O119"/>
  <c r="Q119"/>
  <c r="T119"/>
  <c r="V119"/>
  <c r="P120"/>
  <c r="T120"/>
  <c r="V120"/>
  <c r="Y120"/>
  <c r="AA120"/>
  <c r="O121"/>
  <c r="Q121"/>
  <c r="U121"/>
  <c r="Y121"/>
  <c r="AA121"/>
  <c r="Q120"/>
  <c r="AA119"/>
  <c r="AA118"/>
  <c r="P118"/>
  <c r="O93"/>
  <c r="Q93"/>
  <c r="Z93"/>
  <c r="Q92"/>
  <c r="V91"/>
  <c r="P90"/>
  <c r="Z90"/>
  <c r="AB66"/>
  <c r="AB64"/>
  <c r="AA66"/>
  <c r="AA64"/>
  <c r="R66"/>
  <c r="R64"/>
  <c r="Q66"/>
  <c r="Q64"/>
  <c r="V62"/>
  <c r="Q62"/>
  <c r="AO24" l="1"/>
  <c r="L4" l="1"/>
  <c r="M4"/>
  <c r="N4"/>
  <c r="W27"/>
  <c r="X27" s="1"/>
  <c r="W28"/>
  <c r="X28" s="1"/>
  <c r="W29"/>
  <c r="X29" s="1"/>
  <c r="W30"/>
  <c r="X30" s="1"/>
  <c r="W26"/>
  <c r="X26" s="1"/>
  <c r="M14" s="1"/>
  <c r="U27"/>
  <c r="V27" s="1"/>
  <c r="U28"/>
  <c r="V28" s="1"/>
  <c r="U29"/>
  <c r="V29" s="1"/>
  <c r="U30"/>
  <c r="V30" s="1"/>
  <c r="U26"/>
  <c r="V26" s="1"/>
  <c r="L13" s="1"/>
  <c r="S27"/>
  <c r="T27" s="1"/>
  <c r="S28"/>
  <c r="T28" s="1"/>
  <c r="S29"/>
  <c r="T29" s="1"/>
  <c r="S30"/>
  <c r="T30" s="1"/>
  <c r="S26"/>
  <c r="T26" s="1"/>
  <c r="P12" s="1"/>
  <c r="AK11"/>
  <c r="AL11"/>
  <c r="AM11"/>
  <c r="AN11"/>
  <c r="AJ11"/>
  <c r="R26"/>
  <c r="M11" s="1"/>
  <c r="N18" s="1"/>
  <c r="R27"/>
  <c r="V11" s="1"/>
  <c r="R28"/>
  <c r="AB11" s="1"/>
  <c r="R29"/>
  <c r="AF11" s="1"/>
  <c r="R30"/>
  <c r="K4"/>
  <c r="K5"/>
  <c r="K6"/>
  <c r="K7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N40"/>
  <c r="M40"/>
  <c r="L40"/>
  <c r="K40"/>
  <c r="J40"/>
  <c r="O39"/>
  <c r="O38"/>
  <c r="O37"/>
  <c r="O36"/>
  <c r="K32"/>
  <c r="L32"/>
  <c r="M32"/>
  <c r="N32"/>
  <c r="J32"/>
  <c r="O28"/>
  <c r="O29"/>
  <c r="O30"/>
  <c r="O31"/>
  <c r="O27"/>
  <c r="L5"/>
  <c r="L6"/>
  <c r="L7"/>
  <c r="F80"/>
  <c r="E80"/>
  <c r="D80"/>
  <c r="C80"/>
  <c r="B80"/>
  <c r="F77"/>
  <c r="D77"/>
  <c r="B77"/>
  <c r="O32" l="1"/>
  <c r="AG18"/>
  <c r="W18"/>
  <c r="AO18"/>
  <c r="AM18"/>
  <c r="Q19"/>
  <c r="N21"/>
  <c r="AC18"/>
  <c r="AK18"/>
  <c r="AN18"/>
  <c r="AL18"/>
  <c r="M20"/>
  <c r="AF12"/>
  <c r="AG19" s="1"/>
  <c r="AH12"/>
  <c r="AI19" s="1"/>
  <c r="AE12"/>
  <c r="AF19" s="1"/>
  <c r="AG12"/>
  <c r="AH19" s="1"/>
  <c r="AI12"/>
  <c r="AJ19" s="1"/>
  <c r="X12"/>
  <c r="Y19" s="1"/>
  <c r="U12"/>
  <c r="V19" s="1"/>
  <c r="W12"/>
  <c r="X19" s="1"/>
  <c r="Y12"/>
  <c r="Z19" s="1"/>
  <c r="V12"/>
  <c r="W19" s="1"/>
  <c r="AK13"/>
  <c r="AL20" s="1"/>
  <c r="AM13"/>
  <c r="AN20" s="1"/>
  <c r="AJ13"/>
  <c r="AK20" s="1"/>
  <c r="AL13"/>
  <c r="AM20" s="1"/>
  <c r="AN13"/>
  <c r="AO20" s="1"/>
  <c r="AA13"/>
  <c r="AB20" s="1"/>
  <c r="AC13"/>
  <c r="AD20" s="1"/>
  <c r="AB13"/>
  <c r="AC20" s="1"/>
  <c r="AD13"/>
  <c r="AE20" s="1"/>
  <c r="Z13"/>
  <c r="AA20" s="1"/>
  <c r="AF14"/>
  <c r="AG21" s="1"/>
  <c r="AH14"/>
  <c r="AI21" s="1"/>
  <c r="AE14"/>
  <c r="AF21" s="1"/>
  <c r="AG14"/>
  <c r="AH21" s="1"/>
  <c r="AI14"/>
  <c r="AJ21" s="1"/>
  <c r="V14"/>
  <c r="W21" s="1"/>
  <c r="X14"/>
  <c r="Y21" s="1"/>
  <c r="U14"/>
  <c r="V21" s="1"/>
  <c r="W14"/>
  <c r="X21" s="1"/>
  <c r="Y14"/>
  <c r="Z21" s="1"/>
  <c r="AL12"/>
  <c r="AM19" s="1"/>
  <c r="AN12"/>
  <c r="AO19" s="1"/>
  <c r="AK12"/>
  <c r="AL19" s="1"/>
  <c r="AM12"/>
  <c r="AN19" s="1"/>
  <c r="AJ12"/>
  <c r="AK19" s="1"/>
  <c r="AB12"/>
  <c r="AC19" s="1"/>
  <c r="AD12"/>
  <c r="AE19" s="1"/>
  <c r="Z12"/>
  <c r="AA19" s="1"/>
  <c r="AA12"/>
  <c r="AB19" s="1"/>
  <c r="AC12"/>
  <c r="AD19" s="1"/>
  <c r="AG13"/>
  <c r="AH20" s="1"/>
  <c r="AI13"/>
  <c r="AJ20" s="1"/>
  <c r="AF13"/>
  <c r="AG20" s="1"/>
  <c r="AH13"/>
  <c r="AI20" s="1"/>
  <c r="AE13"/>
  <c r="AF20" s="1"/>
  <c r="V13"/>
  <c r="W20" s="1"/>
  <c r="X13"/>
  <c r="Y20" s="1"/>
  <c r="U13"/>
  <c r="V20" s="1"/>
  <c r="W13"/>
  <c r="X20" s="1"/>
  <c r="Y13"/>
  <c r="Z20" s="1"/>
  <c r="AL14"/>
  <c r="AM21" s="1"/>
  <c r="AN14"/>
  <c r="AO21" s="1"/>
  <c r="AK14"/>
  <c r="AL21" s="1"/>
  <c r="AM14"/>
  <c r="AN21" s="1"/>
  <c r="AJ14"/>
  <c r="AK21" s="1"/>
  <c r="AB14"/>
  <c r="AC21" s="1"/>
  <c r="AD14"/>
  <c r="AE21" s="1"/>
  <c r="AA14"/>
  <c r="AB21" s="1"/>
  <c r="AC14"/>
  <c r="AD21" s="1"/>
  <c r="Z14"/>
  <c r="AA21" s="1"/>
  <c r="K12"/>
  <c r="L19" s="1"/>
  <c r="N12"/>
  <c r="O19" s="1"/>
  <c r="L12"/>
  <c r="M19" s="1"/>
  <c r="K13"/>
  <c r="L20" s="1"/>
  <c r="S13"/>
  <c r="T20" s="1"/>
  <c r="Q13"/>
  <c r="R20" s="1"/>
  <c r="O13"/>
  <c r="P20" s="1"/>
  <c r="M13"/>
  <c r="N20" s="1"/>
  <c r="T12"/>
  <c r="U19" s="1"/>
  <c r="R12"/>
  <c r="S19" s="1"/>
  <c r="K14"/>
  <c r="L21" s="1"/>
  <c r="T14"/>
  <c r="U21" s="1"/>
  <c r="R14"/>
  <c r="S21" s="1"/>
  <c r="P14"/>
  <c r="Q21" s="1"/>
  <c r="N14"/>
  <c r="O21" s="1"/>
  <c r="L14"/>
  <c r="M21" s="1"/>
  <c r="O12"/>
  <c r="P19" s="1"/>
  <c r="M12"/>
  <c r="N19" s="1"/>
  <c r="T13"/>
  <c r="U20" s="1"/>
  <c r="R13"/>
  <c r="S20" s="1"/>
  <c r="P13"/>
  <c r="Q20" s="1"/>
  <c r="N13"/>
  <c r="O20" s="1"/>
  <c r="S12"/>
  <c r="T19" s="1"/>
  <c r="Q12"/>
  <c r="R19" s="1"/>
  <c r="S14"/>
  <c r="T21" s="1"/>
  <c r="Q14"/>
  <c r="R21" s="1"/>
  <c r="O14"/>
  <c r="P21" s="1"/>
  <c r="T11"/>
  <c r="U18" s="1"/>
  <c r="R11"/>
  <c r="S18" s="1"/>
  <c r="P11"/>
  <c r="Q18" s="1"/>
  <c r="N11"/>
  <c r="O18" s="1"/>
  <c r="L11"/>
  <c r="M18" s="1"/>
  <c r="Y11"/>
  <c r="Z18" s="1"/>
  <c r="W11"/>
  <c r="X18" s="1"/>
  <c r="Z11"/>
  <c r="AA18" s="1"/>
  <c r="AC11"/>
  <c r="AD18" s="1"/>
  <c r="AA11"/>
  <c r="AB18" s="1"/>
  <c r="AI11"/>
  <c r="AJ18" s="1"/>
  <c r="AG11"/>
  <c r="AH18" s="1"/>
  <c r="K11"/>
  <c r="L18" s="1"/>
  <c r="L16" s="1"/>
  <c r="S11"/>
  <c r="T18" s="1"/>
  <c r="Q11"/>
  <c r="R18" s="1"/>
  <c r="O11"/>
  <c r="P18" s="1"/>
  <c r="U11"/>
  <c r="V18" s="1"/>
  <c r="X11"/>
  <c r="Y18" s="1"/>
  <c r="AD11"/>
  <c r="AE18" s="1"/>
  <c r="AE11"/>
  <c r="AF18" s="1"/>
  <c r="AH11"/>
  <c r="AI18" s="1"/>
  <c r="O40"/>
  <c r="P16" l="1"/>
  <c r="Z16"/>
  <c r="U16"/>
  <c r="K21"/>
  <c r="AK35" s="1"/>
  <c r="K19"/>
  <c r="AK33" s="1"/>
  <c r="K18"/>
  <c r="AK32" s="1"/>
  <c r="K20"/>
  <c r="AK34" s="1"/>
  <c r="AC25"/>
  <c r="AC24"/>
  <c r="AC26"/>
  <c r="AB24"/>
  <c r="AD24"/>
  <c r="AB26"/>
  <c r="AD25"/>
  <c r="AE24"/>
  <c r="AB27"/>
  <c r="AB25"/>
  <c r="AE25"/>
  <c r="AM34" l="1"/>
  <c r="AO34"/>
  <c r="AN34"/>
  <c r="AL34"/>
  <c r="AK39"/>
  <c r="AN33"/>
  <c r="AN39" s="1"/>
  <c r="AL33"/>
  <c r="AL39" s="1"/>
  <c r="AM33"/>
  <c r="AM39" s="1"/>
  <c r="AO33"/>
  <c r="AO39" s="1"/>
  <c r="AM32"/>
  <c r="AM38" s="1"/>
  <c r="AM40" s="1"/>
  <c r="AO32"/>
  <c r="AO38" s="1"/>
  <c r="AO40" s="1"/>
  <c r="AK38"/>
  <c r="AN32"/>
  <c r="AN38" s="1"/>
  <c r="AL32"/>
  <c r="AL38" s="1"/>
  <c r="AN35"/>
  <c r="AL35"/>
  <c r="AM35"/>
  <c r="AO35"/>
  <c r="AC28"/>
  <c r="AF27"/>
  <c r="AK29" s="1"/>
  <c r="AF25"/>
  <c r="AK27" s="1"/>
  <c r="AE28"/>
  <c r="AF26"/>
  <c r="AK28" s="1"/>
  <c r="AB28"/>
  <c r="AF24"/>
  <c r="AK26" s="1"/>
  <c r="AD28"/>
  <c r="AL40" l="1"/>
  <c r="AK40"/>
  <c r="AN40"/>
  <c r="AF28"/>
  <c r="AK25" s="1"/>
  <c r="L130" l="1"/>
  <c r="J130"/>
  <c r="L129"/>
  <c r="J129"/>
  <c r="L128"/>
  <c r="J128"/>
  <c r="L127"/>
  <c r="J127"/>
  <c r="L126"/>
  <c r="J126"/>
  <c r="L74"/>
  <c r="L49" s="1"/>
  <c r="J74"/>
  <c r="J49" s="1"/>
  <c r="L73"/>
  <c r="L48" s="1"/>
  <c r="J73"/>
  <c r="J48" s="1"/>
  <c r="L72"/>
  <c r="L47" s="1"/>
  <c r="J72"/>
  <c r="J47" s="1"/>
  <c r="L71"/>
  <c r="L46" s="1"/>
  <c r="J71"/>
  <c r="J46" s="1"/>
  <c r="L70"/>
  <c r="L45" s="1"/>
  <c r="J70"/>
  <c r="J45" s="1"/>
  <c r="L102"/>
  <c r="J102"/>
  <c r="L101"/>
  <c r="J101"/>
  <c r="L100"/>
  <c r="J100"/>
  <c r="L99"/>
  <c r="J99"/>
  <c r="L98"/>
  <c r="J98"/>
  <c r="M130"/>
  <c r="K130"/>
  <c r="M129"/>
  <c r="K129"/>
  <c r="M128"/>
  <c r="K128"/>
  <c r="M127"/>
  <c r="K127"/>
  <c r="M126"/>
  <c r="K126"/>
  <c r="M74"/>
  <c r="M49" s="1"/>
  <c r="K74"/>
  <c r="K49" s="1"/>
  <c r="M73"/>
  <c r="M48" s="1"/>
  <c r="K73"/>
  <c r="K48" s="1"/>
  <c r="M72"/>
  <c r="M47" s="1"/>
  <c r="K72"/>
  <c r="K47" s="1"/>
  <c r="M71"/>
  <c r="M46" s="1"/>
  <c r="K71"/>
  <c r="K46" s="1"/>
  <c r="M70"/>
  <c r="M45" s="1"/>
  <c r="K70"/>
  <c r="K45" s="1"/>
  <c r="M102"/>
  <c r="K102"/>
  <c r="M101"/>
  <c r="K101"/>
  <c r="M100"/>
  <c r="K100"/>
  <c r="M99"/>
  <c r="K99"/>
  <c r="M98"/>
  <c r="K98"/>
  <c r="E64"/>
  <c r="C64"/>
  <c r="D63"/>
  <c r="B63"/>
  <c r="E62"/>
  <c r="C62"/>
  <c r="D61"/>
  <c r="B61"/>
  <c r="E60"/>
  <c r="C60"/>
  <c r="D64"/>
  <c r="B64"/>
  <c r="F64" s="1"/>
  <c r="E63"/>
  <c r="C63"/>
  <c r="D62"/>
  <c r="B62"/>
  <c r="F62" s="1"/>
  <c r="E61"/>
  <c r="C61"/>
  <c r="D60"/>
  <c r="B60"/>
  <c r="F60" s="1"/>
  <c r="N127"/>
  <c r="J135" s="1"/>
  <c r="Q135" s="1"/>
  <c r="N100"/>
  <c r="J108" s="1"/>
  <c r="AF34"/>
  <c r="AE35"/>
  <c r="AB35"/>
  <c r="AD35"/>
  <c r="AF32"/>
  <c r="AF33"/>
  <c r="AF31"/>
  <c r="AM25"/>
  <c r="AL25"/>
  <c r="AN25"/>
  <c r="AO25"/>
  <c r="AF35"/>
  <c r="AC32"/>
  <c r="AB33"/>
  <c r="AE32"/>
  <c r="AB31"/>
  <c r="AD32"/>
  <c r="AC33"/>
  <c r="AB34"/>
  <c r="AB32"/>
  <c r="AE31"/>
  <c r="AD31"/>
  <c r="AC31"/>
  <c r="AC35"/>
  <c r="N98" l="1"/>
  <c r="J106" s="1"/>
  <c r="Q106" s="1"/>
  <c r="N102"/>
  <c r="J110" s="1"/>
  <c r="N129"/>
  <c r="J137" s="1"/>
  <c r="N99"/>
  <c r="J107" s="1"/>
  <c r="Q107" s="1"/>
  <c r="N101"/>
  <c r="J109" s="1"/>
  <c r="N126"/>
  <c r="J134" s="1"/>
  <c r="Q134" s="1"/>
  <c r="Q136" s="1"/>
  <c r="N128"/>
  <c r="J136" s="1"/>
  <c r="N130"/>
  <c r="J138" s="1"/>
  <c r="AG45"/>
  <c r="AB45"/>
  <c r="W45"/>
  <c r="R45"/>
  <c r="W46"/>
  <c r="AG46"/>
  <c r="R46"/>
  <c r="AB46"/>
  <c r="AB47"/>
  <c r="W47"/>
  <c r="AG47"/>
  <c r="R47"/>
  <c r="W48"/>
  <c r="AG48"/>
  <c r="R48"/>
  <c r="AB48"/>
  <c r="AB49"/>
  <c r="W49"/>
  <c r="AG49"/>
  <c r="R49"/>
  <c r="AA45"/>
  <c r="V45"/>
  <c r="Q45"/>
  <c r="AF45"/>
  <c r="AA46"/>
  <c r="V46"/>
  <c r="AF46"/>
  <c r="Q46"/>
  <c r="V47"/>
  <c r="AF47"/>
  <c r="Q47"/>
  <c r="AA47"/>
  <c r="AA48"/>
  <c r="V48"/>
  <c r="AF48"/>
  <c r="Q48"/>
  <c r="V49"/>
  <c r="AF49"/>
  <c r="Q49"/>
  <c r="AA49"/>
  <c r="AE45"/>
  <c r="U45"/>
  <c r="Z45"/>
  <c r="P45"/>
  <c r="U46"/>
  <c r="AE46"/>
  <c r="P46"/>
  <c r="Z46"/>
  <c r="Z47"/>
  <c r="U47"/>
  <c r="AE47"/>
  <c r="P47"/>
  <c r="U48"/>
  <c r="AE48"/>
  <c r="P48"/>
  <c r="Z48"/>
  <c r="Z49"/>
  <c r="U49"/>
  <c r="AE49"/>
  <c r="P49"/>
  <c r="Y45"/>
  <c r="AD45"/>
  <c r="T45"/>
  <c r="O45"/>
  <c r="Y46"/>
  <c r="T46"/>
  <c r="AD46"/>
  <c r="O46"/>
  <c r="T47"/>
  <c r="AD47"/>
  <c r="O47"/>
  <c r="Y47"/>
  <c r="Y48"/>
  <c r="T48"/>
  <c r="AD48"/>
  <c r="O48"/>
  <c r="T49"/>
  <c r="AD49"/>
  <c r="O49"/>
  <c r="Y49"/>
  <c r="AF130"/>
  <c r="AD130"/>
  <c r="AF129"/>
  <c r="AD129"/>
  <c r="AF128"/>
  <c r="AD128"/>
  <c r="AF127"/>
  <c r="AD127"/>
  <c r="AF126"/>
  <c r="AD126"/>
  <c r="AF102"/>
  <c r="AD102"/>
  <c r="AF101"/>
  <c r="AD101"/>
  <c r="AF100"/>
  <c r="AD100"/>
  <c r="AF99"/>
  <c r="AD99"/>
  <c r="AF98"/>
  <c r="AD98"/>
  <c r="AF74"/>
  <c r="AD74"/>
  <c r="AF73"/>
  <c r="AD73"/>
  <c r="AF72"/>
  <c r="AD72"/>
  <c r="AF71"/>
  <c r="AD71"/>
  <c r="AF70"/>
  <c r="AD70"/>
  <c r="AG130"/>
  <c r="AE130"/>
  <c r="AG129"/>
  <c r="AE129"/>
  <c r="AG128"/>
  <c r="AE128"/>
  <c r="AG127"/>
  <c r="AE127"/>
  <c r="AG126"/>
  <c r="AE126"/>
  <c r="AG102"/>
  <c r="AE102"/>
  <c r="AG101"/>
  <c r="AE101"/>
  <c r="AG100"/>
  <c r="AE100"/>
  <c r="AG99"/>
  <c r="AE99"/>
  <c r="AG98"/>
  <c r="AE98"/>
  <c r="AG74"/>
  <c r="AE74"/>
  <c r="AG73"/>
  <c r="AE73"/>
  <c r="AG72"/>
  <c r="AE72"/>
  <c r="AG71"/>
  <c r="AE71"/>
  <c r="AG70"/>
  <c r="AE70"/>
  <c r="Q130"/>
  <c r="O130"/>
  <c r="Q129"/>
  <c r="O129"/>
  <c r="Q128"/>
  <c r="O128"/>
  <c r="Q127"/>
  <c r="O127"/>
  <c r="Q126"/>
  <c r="O126"/>
  <c r="Q102"/>
  <c r="O102"/>
  <c r="Q101"/>
  <c r="O101"/>
  <c r="Q100"/>
  <c r="O100"/>
  <c r="Q99"/>
  <c r="O99"/>
  <c r="Q98"/>
  <c r="O98"/>
  <c r="Q74"/>
  <c r="O74"/>
  <c r="Q73"/>
  <c r="O73"/>
  <c r="Q72"/>
  <c r="O72"/>
  <c r="Q71"/>
  <c r="O71"/>
  <c r="Q70"/>
  <c r="O70"/>
  <c r="R130"/>
  <c r="P130"/>
  <c r="R129"/>
  <c r="P129"/>
  <c r="R128"/>
  <c r="P128"/>
  <c r="R127"/>
  <c r="P127"/>
  <c r="R126"/>
  <c r="P126"/>
  <c r="R102"/>
  <c r="P102"/>
  <c r="R101"/>
  <c r="P101"/>
  <c r="R100"/>
  <c r="P100"/>
  <c r="R99"/>
  <c r="P99"/>
  <c r="R98"/>
  <c r="P98"/>
  <c r="R74"/>
  <c r="P74"/>
  <c r="R73"/>
  <c r="P73"/>
  <c r="R72"/>
  <c r="P72"/>
  <c r="R71"/>
  <c r="P71"/>
  <c r="R70"/>
  <c r="P70"/>
  <c r="AA130"/>
  <c r="Y130"/>
  <c r="AA129"/>
  <c r="Y129"/>
  <c r="AA128"/>
  <c r="Y128"/>
  <c r="AA127"/>
  <c r="Y127"/>
  <c r="AA126"/>
  <c r="Y126"/>
  <c r="AA102"/>
  <c r="Y102"/>
  <c r="AA101"/>
  <c r="Y101"/>
  <c r="AA100"/>
  <c r="Y100"/>
  <c r="AA99"/>
  <c r="Y99"/>
  <c r="AA98"/>
  <c r="Y98"/>
  <c r="AA74"/>
  <c r="Y74"/>
  <c r="AA73"/>
  <c r="Y73"/>
  <c r="AA72"/>
  <c r="Y72"/>
  <c r="AA71"/>
  <c r="Y71"/>
  <c r="AA70"/>
  <c r="Y70"/>
  <c r="AB130"/>
  <c r="Z130"/>
  <c r="AB129"/>
  <c r="Z129"/>
  <c r="AB128"/>
  <c r="Z128"/>
  <c r="AB127"/>
  <c r="Z127"/>
  <c r="AB126"/>
  <c r="Z126"/>
  <c r="AB102"/>
  <c r="Z102"/>
  <c r="AB101"/>
  <c r="Z101"/>
  <c r="AB100"/>
  <c r="Z100"/>
  <c r="AB99"/>
  <c r="Z99"/>
  <c r="AB98"/>
  <c r="Z98"/>
  <c r="AB74"/>
  <c r="Z74"/>
  <c r="AB73"/>
  <c r="Z73"/>
  <c r="AB72"/>
  <c r="Z72"/>
  <c r="AB71"/>
  <c r="Z71"/>
  <c r="AB70"/>
  <c r="Z70"/>
  <c r="V130"/>
  <c r="T130"/>
  <c r="V129"/>
  <c r="T129"/>
  <c r="V128"/>
  <c r="T128"/>
  <c r="V127"/>
  <c r="T127"/>
  <c r="V126"/>
  <c r="T126"/>
  <c r="V102"/>
  <c r="T102"/>
  <c r="V101"/>
  <c r="T101"/>
  <c r="V100"/>
  <c r="T100"/>
  <c r="V99"/>
  <c r="T99"/>
  <c r="V98"/>
  <c r="T98"/>
  <c r="V74"/>
  <c r="T74"/>
  <c r="V73"/>
  <c r="T73"/>
  <c r="V72"/>
  <c r="T72"/>
  <c r="V71"/>
  <c r="T71"/>
  <c r="V70"/>
  <c r="T70"/>
  <c r="W130"/>
  <c r="U130"/>
  <c r="W129"/>
  <c r="U129"/>
  <c r="W128"/>
  <c r="U128"/>
  <c r="W127"/>
  <c r="U127"/>
  <c r="W126"/>
  <c r="U126"/>
  <c r="W102"/>
  <c r="U102"/>
  <c r="W101"/>
  <c r="U101"/>
  <c r="W100"/>
  <c r="U100"/>
  <c r="W99"/>
  <c r="U99"/>
  <c r="W98"/>
  <c r="U98"/>
  <c r="W74"/>
  <c r="U74"/>
  <c r="W73"/>
  <c r="U73"/>
  <c r="W72"/>
  <c r="U72"/>
  <c r="W71"/>
  <c r="U71"/>
  <c r="W70"/>
  <c r="U70"/>
  <c r="AC102"/>
  <c r="M110" s="1"/>
  <c r="S127"/>
  <c r="K135" s="1"/>
  <c r="R135" s="1"/>
  <c r="F61"/>
  <c r="F63"/>
  <c r="N73"/>
  <c r="N72"/>
  <c r="N71"/>
  <c r="AN28"/>
  <c r="AM29"/>
  <c r="N70"/>
  <c r="N74"/>
  <c r="AN29"/>
  <c r="AM28"/>
  <c r="AM26"/>
  <c r="AN27"/>
  <c r="AO29"/>
  <c r="AO26"/>
  <c r="AO28"/>
  <c r="AO27"/>
  <c r="AL28"/>
  <c r="AL29"/>
  <c r="AL26"/>
  <c r="AL27"/>
  <c r="AN26"/>
  <c r="AM27"/>
  <c r="AH70" l="1"/>
  <c r="N78" s="1"/>
  <c r="U78" s="1"/>
  <c r="AH127"/>
  <c r="N135" s="1"/>
  <c r="U135" s="1"/>
  <c r="Q108"/>
  <c r="AC73"/>
  <c r="M81" s="1"/>
  <c r="AC98"/>
  <c r="M106" s="1"/>
  <c r="T106" s="1"/>
  <c r="AC128"/>
  <c r="M136" s="1"/>
  <c r="S99"/>
  <c r="K107" s="1"/>
  <c r="R107" s="1"/>
  <c r="AH130"/>
  <c r="N138" s="1"/>
  <c r="J78"/>
  <c r="Q78" s="1"/>
  <c r="N45"/>
  <c r="J79"/>
  <c r="Q79" s="1"/>
  <c r="N46"/>
  <c r="J81"/>
  <c r="N48"/>
  <c r="J82"/>
  <c r="N49"/>
  <c r="J80"/>
  <c r="N47"/>
  <c r="AH74"/>
  <c r="N82" s="1"/>
  <c r="S126"/>
  <c r="K134" s="1"/>
  <c r="R134" s="1"/>
  <c r="R136" s="1"/>
  <c r="X129"/>
  <c r="L137" s="1"/>
  <c r="X102"/>
  <c r="L110" s="1"/>
  <c r="X126"/>
  <c r="L134" s="1"/>
  <c r="S134" s="1"/>
  <c r="X98"/>
  <c r="L106" s="1"/>
  <c r="S106" s="1"/>
  <c r="X101"/>
  <c r="L109" s="1"/>
  <c r="X100"/>
  <c r="L108" s="1"/>
  <c r="S98"/>
  <c r="K106" s="1"/>
  <c r="R106" s="1"/>
  <c r="R108" s="1"/>
  <c r="S129"/>
  <c r="K137" s="1"/>
  <c r="S130"/>
  <c r="K138" s="1"/>
  <c r="AH129"/>
  <c r="N137" s="1"/>
  <c r="AH98"/>
  <c r="N106" s="1"/>
  <c r="U106" s="1"/>
  <c r="AH102"/>
  <c r="N110" s="1"/>
  <c r="AH100"/>
  <c r="N108" s="1"/>
  <c r="AC99"/>
  <c r="M107" s="1"/>
  <c r="T107" s="1"/>
  <c r="T108" s="1"/>
  <c r="AC101"/>
  <c r="M109" s="1"/>
  <c r="AC130"/>
  <c r="M138" s="1"/>
  <c r="AC126"/>
  <c r="M134" s="1"/>
  <c r="T134" s="1"/>
  <c r="AC100"/>
  <c r="M108" s="1"/>
  <c r="S74"/>
  <c r="K82" s="1"/>
  <c r="X130"/>
  <c r="L138" s="1"/>
  <c r="X128"/>
  <c r="L136" s="1"/>
  <c r="X127"/>
  <c r="L135" s="1"/>
  <c r="S135" s="1"/>
  <c r="X99"/>
  <c r="L107" s="1"/>
  <c r="S107" s="1"/>
  <c r="S102"/>
  <c r="K110" s="1"/>
  <c r="S128"/>
  <c r="K136" s="1"/>
  <c r="S101"/>
  <c r="K109" s="1"/>
  <c r="S100"/>
  <c r="K108" s="1"/>
  <c r="AH128"/>
  <c r="N136" s="1"/>
  <c r="AH99"/>
  <c r="N107" s="1"/>
  <c r="U107" s="1"/>
  <c r="AH126"/>
  <c r="N134" s="1"/>
  <c r="U134" s="1"/>
  <c r="U136" s="1"/>
  <c r="AH101"/>
  <c r="N109" s="1"/>
  <c r="AC129"/>
  <c r="M137" s="1"/>
  <c r="AC127"/>
  <c r="M135" s="1"/>
  <c r="T135" s="1"/>
  <c r="X71"/>
  <c r="L79" s="1"/>
  <c r="S79" s="1"/>
  <c r="X70"/>
  <c r="L78" s="1"/>
  <c r="S78" s="1"/>
  <c r="X72"/>
  <c r="L80" s="1"/>
  <c r="X73"/>
  <c r="L81" s="1"/>
  <c r="X74"/>
  <c r="L82" s="1"/>
  <c r="AC71"/>
  <c r="M79" s="1"/>
  <c r="T79" s="1"/>
  <c r="AC72"/>
  <c r="M80" s="1"/>
  <c r="S71"/>
  <c r="K79" s="1"/>
  <c r="R79" s="1"/>
  <c r="S70"/>
  <c r="K78" s="1"/>
  <c r="R78" s="1"/>
  <c r="S73"/>
  <c r="K81" s="1"/>
  <c r="AH71"/>
  <c r="N79" s="1"/>
  <c r="U79" s="1"/>
  <c r="U80" s="1"/>
  <c r="AH73"/>
  <c r="N81" s="1"/>
  <c r="AC70"/>
  <c r="M78" s="1"/>
  <c r="T78" s="1"/>
  <c r="AC74"/>
  <c r="M82" s="1"/>
  <c r="S72"/>
  <c r="K80" s="1"/>
  <c r="AH72"/>
  <c r="N80" s="1"/>
  <c r="S80" l="1"/>
  <c r="S136"/>
  <c r="T136"/>
  <c r="U108"/>
  <c r="Q80"/>
  <c r="T80"/>
  <c r="R80"/>
  <c r="S108"/>
  <c r="X47"/>
  <c r="L55" s="1"/>
  <c r="AH47"/>
  <c r="N55" s="1"/>
  <c r="S47"/>
  <c r="K55" s="1"/>
  <c r="AC47"/>
  <c r="M55" s="1"/>
  <c r="J55"/>
  <c r="X49"/>
  <c r="L57" s="1"/>
  <c r="AH49"/>
  <c r="N57" s="1"/>
  <c r="S49"/>
  <c r="K57" s="1"/>
  <c r="AC49"/>
  <c r="M57" s="1"/>
  <c r="J57"/>
  <c r="AC48"/>
  <c r="M56" s="1"/>
  <c r="J56"/>
  <c r="X48"/>
  <c r="L56" s="1"/>
  <c r="AH48"/>
  <c r="N56" s="1"/>
  <c r="S48"/>
  <c r="K56" s="1"/>
  <c r="AC46"/>
  <c r="M54" s="1"/>
  <c r="T54" s="1"/>
  <c r="J54"/>
  <c r="Q54" s="1"/>
  <c r="X135" s="1"/>
  <c r="Q141" s="1"/>
  <c r="X46"/>
  <c r="L54" s="1"/>
  <c r="S54" s="1"/>
  <c r="AH46"/>
  <c r="N54" s="1"/>
  <c r="U54" s="1"/>
  <c r="S46"/>
  <c r="K54" s="1"/>
  <c r="R54" s="1"/>
  <c r="AC45"/>
  <c r="M53" s="1"/>
  <c r="T53" s="1"/>
  <c r="AA134" s="1"/>
  <c r="S45"/>
  <c r="K53" s="1"/>
  <c r="R53" s="1"/>
  <c r="Y134" s="1"/>
  <c r="J53"/>
  <c r="Q53" s="1"/>
  <c r="X134" s="1"/>
  <c r="AH45"/>
  <c r="N53" s="1"/>
  <c r="U53" s="1"/>
  <c r="AB134" s="1"/>
  <c r="X45"/>
  <c r="L53" s="1"/>
  <c r="S53" s="1"/>
  <c r="Z134" s="1"/>
  <c r="U140" l="1"/>
  <c r="R140"/>
  <c r="R142" s="1"/>
  <c r="Y135"/>
  <c r="R141" s="1"/>
  <c r="Y107"/>
  <c r="R113" s="1"/>
  <c r="Z135"/>
  <c r="S141" s="1"/>
  <c r="Z107"/>
  <c r="S113" s="1"/>
  <c r="AA135"/>
  <c r="T141" s="1"/>
  <c r="AA107"/>
  <c r="T113" s="1"/>
  <c r="Z136"/>
  <c r="S140"/>
  <c r="S142" s="1"/>
  <c r="X136"/>
  <c r="Q140"/>
  <c r="Q142" s="1"/>
  <c r="AA136"/>
  <c r="T140"/>
  <c r="T142" s="1"/>
  <c r="AB135"/>
  <c r="U141" s="1"/>
  <c r="AB107"/>
  <c r="U113" s="1"/>
  <c r="AB106"/>
  <c r="U112" s="1"/>
  <c r="AB78"/>
  <c r="U84" s="1"/>
  <c r="Y106"/>
  <c r="R112" s="1"/>
  <c r="Y78"/>
  <c r="R84" s="1"/>
  <c r="R86" s="1"/>
  <c r="Y79"/>
  <c r="R85" s="1"/>
  <c r="Z79"/>
  <c r="S85" s="1"/>
  <c r="AA79"/>
  <c r="T85" s="1"/>
  <c r="Z106"/>
  <c r="Z78"/>
  <c r="X106"/>
  <c r="Q112" s="1"/>
  <c r="X78"/>
  <c r="AA106"/>
  <c r="AA78"/>
  <c r="AB79"/>
  <c r="U85" s="1"/>
  <c r="AK46"/>
  <c r="X107"/>
  <c r="Q113" s="1"/>
  <c r="X79"/>
  <c r="Q85" s="1"/>
  <c r="S55"/>
  <c r="AM44"/>
  <c r="AK44"/>
  <c r="Q55"/>
  <c r="AN44"/>
  <c r="T55"/>
  <c r="U55"/>
  <c r="AO44"/>
  <c r="AL44"/>
  <c r="R55"/>
  <c r="U142" l="1"/>
  <c r="AA108"/>
  <c r="T112"/>
  <c r="T114" s="1"/>
  <c r="Z108"/>
  <c r="S112"/>
  <c r="S114" s="1"/>
  <c r="AA80"/>
  <c r="T84"/>
  <c r="T86" s="1"/>
  <c r="X80"/>
  <c r="Q84"/>
  <c r="Q86" s="1"/>
  <c r="Z80"/>
  <c r="S84"/>
  <c r="S86" s="1"/>
  <c r="Q114"/>
  <c r="U86"/>
  <c r="R114"/>
  <c r="U114"/>
  <c r="Y136"/>
  <c r="AB136"/>
  <c r="X108"/>
  <c r="Y108"/>
  <c r="AB108"/>
  <c r="Y80"/>
  <c r="AB80"/>
</calcChain>
</file>

<file path=xl/sharedStrings.xml><?xml version="1.0" encoding="utf-8"?>
<sst xmlns="http://schemas.openxmlformats.org/spreadsheetml/2006/main" count="929" uniqueCount="385">
  <si>
    <t>B08134: MEANS OF TRANSPORTATION TO WORK BY TRAVEL TIME TO WORK - Universe: Workers 16 years and over who did not work at home</t>
  </si>
  <si>
    <t/>
  </si>
  <si>
    <t>United States</t>
  </si>
  <si>
    <t>Virginia</t>
  </si>
  <si>
    <t>Blacksburg town, Virginia</t>
  </si>
  <si>
    <t>Estimate</t>
  </si>
  <si>
    <t>Margin of Error</t>
  </si>
  <si>
    <t>Total:</t>
  </si>
  <si>
    <t>+/-138,635</t>
  </si>
  <si>
    <t>+/-8,022</t>
  </si>
  <si>
    <t>+/-972</t>
  </si>
  <si>
    <t xml:space="preserve">        Less than 10 minutes</t>
  </si>
  <si>
    <t>+/-31,539</t>
  </si>
  <si>
    <t>+/-5,460</t>
  </si>
  <si>
    <t>+/-549</t>
  </si>
  <si>
    <t xml:space="preserve">        10 to 14 minutes</t>
  </si>
  <si>
    <t>+/-31,346</t>
  </si>
  <si>
    <t>+/-6,053</t>
  </si>
  <si>
    <t>+/-537</t>
  </si>
  <si>
    <t xml:space="preserve">        15 to 19 minutes</t>
  </si>
  <si>
    <t>+/-32,116</t>
  </si>
  <si>
    <t>+/-6,714</t>
  </si>
  <si>
    <t>+/-392</t>
  </si>
  <si>
    <t xml:space="preserve">        20 to 24 minutes</t>
  </si>
  <si>
    <t>+/-33,647</t>
  </si>
  <si>
    <t>+/-6,016</t>
  </si>
  <si>
    <t>+/-400</t>
  </si>
  <si>
    <t xml:space="preserve">        25 to 29 minutes</t>
  </si>
  <si>
    <t>+/-26,444</t>
  </si>
  <si>
    <t>+/-3,442</t>
  </si>
  <si>
    <t>+/-113</t>
  </si>
  <si>
    <t xml:space="preserve">        30 to 34 minutes</t>
  </si>
  <si>
    <t>+/-32,844</t>
  </si>
  <si>
    <t>+/-4,937</t>
  </si>
  <si>
    <t>+/-156</t>
  </si>
  <si>
    <t xml:space="preserve">        35 to 44 minutes</t>
  </si>
  <si>
    <t>+/-31,651</t>
  </si>
  <si>
    <t>+/-3,955</t>
  </si>
  <si>
    <t>+/-141</t>
  </si>
  <si>
    <t xml:space="preserve">        45 to 59 minutes</t>
  </si>
  <si>
    <t>+/-30,581</t>
  </si>
  <si>
    <t>+/-3,962</t>
  </si>
  <si>
    <t>+/-157</t>
  </si>
  <si>
    <t xml:space="preserve">        60 or more minutes</t>
  </si>
  <si>
    <t>+/-31,514</t>
  </si>
  <si>
    <t>+/-4,692</t>
  </si>
  <si>
    <t>+/-160</t>
  </si>
  <si>
    <t xml:space="preserve">  Car, truck, or van:</t>
  </si>
  <si>
    <t>+/-155,786</t>
  </si>
  <si>
    <t>+/-9,583</t>
  </si>
  <si>
    <t>+/-846</t>
  </si>
  <si>
    <t>+/-31,335</t>
  </si>
  <si>
    <t>+/-5,289</t>
  </si>
  <si>
    <t>+/-499</t>
  </si>
  <si>
    <t>+/-32,914</t>
  </si>
  <si>
    <t>+/-5,652</t>
  </si>
  <si>
    <t>+/-469</t>
  </si>
  <si>
    <t>+/-34,126</t>
  </si>
  <si>
    <t>+/-6,424</t>
  </si>
  <si>
    <t>+/-271</t>
  </si>
  <si>
    <t>+/-33,708</t>
  </si>
  <si>
    <t>+/-5,826</t>
  </si>
  <si>
    <t>+/-361</t>
  </si>
  <si>
    <t>+/-25,538</t>
  </si>
  <si>
    <t>+/-3,321</t>
  </si>
  <si>
    <t>+/-69</t>
  </si>
  <si>
    <t>+/-32,607</t>
  </si>
  <si>
    <t>+/-4,723</t>
  </si>
  <si>
    <t>+/-114</t>
  </si>
  <si>
    <t>+/-30,902</t>
  </si>
  <si>
    <t>+/-3,951</t>
  </si>
  <si>
    <t>+/-27,922</t>
  </si>
  <si>
    <t>+/-3,660</t>
  </si>
  <si>
    <t>+/-153</t>
  </si>
  <si>
    <t>+/-27,620</t>
  </si>
  <si>
    <t>+/-4,114</t>
  </si>
  <si>
    <t xml:space="preserve">    Drove alone:</t>
  </si>
  <si>
    <t>+/-111,585</t>
  </si>
  <si>
    <t>+/-9,135</t>
  </si>
  <si>
    <t>+/-848</t>
  </si>
  <si>
    <t>+/-29,732</t>
  </si>
  <si>
    <t>+/-5,134</t>
  </si>
  <si>
    <t>+/-478</t>
  </si>
  <si>
    <t>+/-26,833</t>
  </si>
  <si>
    <t>+/-5,169</t>
  </si>
  <si>
    <t>+/-496</t>
  </si>
  <si>
    <t>+/-28,893</t>
  </si>
  <si>
    <t>+/-5,698</t>
  </si>
  <si>
    <t>+/-256</t>
  </si>
  <si>
    <t>+/-30,047</t>
  </si>
  <si>
    <t>+/-5,486</t>
  </si>
  <si>
    <t>+/-308</t>
  </si>
  <si>
    <t>+/-23,081</t>
  </si>
  <si>
    <t>+/-3,068</t>
  </si>
  <si>
    <t>+/-66</t>
  </si>
  <si>
    <t>+/-27,688</t>
  </si>
  <si>
    <t>+/-3,876</t>
  </si>
  <si>
    <t>+/-109</t>
  </si>
  <si>
    <t>+/-25,444</t>
  </si>
  <si>
    <t>+/-3,656</t>
  </si>
  <si>
    <t>+/-135</t>
  </si>
  <si>
    <t>+/-22,442</t>
  </si>
  <si>
    <t>+/-3,326</t>
  </si>
  <si>
    <t>+/-147</t>
  </si>
  <si>
    <t>+/-23,972</t>
  </si>
  <si>
    <t>+/-3,164</t>
  </si>
  <si>
    <t xml:space="preserve">    Carpooled:</t>
  </si>
  <si>
    <t>+/-55,610</t>
  </si>
  <si>
    <t>+/-5,334</t>
  </si>
  <si>
    <t>+/-348</t>
  </si>
  <si>
    <t>+/-12,101</t>
  </si>
  <si>
    <t>+/-1,494</t>
  </si>
  <si>
    <t>+/-205</t>
  </si>
  <si>
    <t>+/-13,044</t>
  </si>
  <si>
    <t>+/-1,830</t>
  </si>
  <si>
    <t>+/-227</t>
  </si>
  <si>
    <t>+/-12,900</t>
  </si>
  <si>
    <t>+/-1,898</t>
  </si>
  <si>
    <t>+/-14,340</t>
  </si>
  <si>
    <t>+/-1,721</t>
  </si>
  <si>
    <t>+/-116</t>
  </si>
  <si>
    <t>+/-8,768</t>
  </si>
  <si>
    <t>+/-1,401</t>
  </si>
  <si>
    <t>+/-19</t>
  </si>
  <si>
    <t>+/-12,889</t>
  </si>
  <si>
    <t>+/-1,924</t>
  </si>
  <si>
    <t>+/-33</t>
  </si>
  <si>
    <t>+/-10,928</t>
  </si>
  <si>
    <t>+/-1,601</t>
  </si>
  <si>
    <t>+/-42</t>
  </si>
  <si>
    <t>+/-11,543</t>
  </si>
  <si>
    <t>+/-1,505</t>
  </si>
  <si>
    <t>+/-51</t>
  </si>
  <si>
    <t>+/-11,462</t>
  </si>
  <si>
    <t>+/-2,092</t>
  </si>
  <si>
    <t>+/-12</t>
  </si>
  <si>
    <t xml:space="preserve">      In 2-person carpool:</t>
  </si>
  <si>
    <t>+/-42,693</t>
  </si>
  <si>
    <t>+/-4,410</t>
  </si>
  <si>
    <t>+/-306</t>
  </si>
  <si>
    <t>+/-10,531</t>
  </si>
  <si>
    <t>+/-1,250</t>
  </si>
  <si>
    <t>+/-152</t>
  </si>
  <si>
    <t>+/-11,150</t>
  </si>
  <si>
    <t>+/-1,554</t>
  </si>
  <si>
    <t>+/-226</t>
  </si>
  <si>
    <t>+/-10,099</t>
  </si>
  <si>
    <t>+/-1,525</t>
  </si>
  <si>
    <t>+/-107</t>
  </si>
  <si>
    <t>+/-12,140</t>
  </si>
  <si>
    <t>+/-1,468</t>
  </si>
  <si>
    <t>+/-110</t>
  </si>
  <si>
    <t>+/-8,043</t>
  </si>
  <si>
    <t>+/-1,190</t>
  </si>
  <si>
    <t>+/-10,549</t>
  </si>
  <si>
    <t>+/-1,707</t>
  </si>
  <si>
    <t>+/-8,951</t>
  </si>
  <si>
    <t>+/-1,354</t>
  </si>
  <si>
    <t>+/-8,989</t>
  </si>
  <si>
    <t>+/-1,258</t>
  </si>
  <si>
    <t>+/-18</t>
  </si>
  <si>
    <t>+/-8,844</t>
  </si>
  <si>
    <t>+/-1,701</t>
  </si>
  <si>
    <t xml:space="preserve">      In 3-or-more-person carpool:</t>
  </si>
  <si>
    <t>+/-21,302</t>
  </si>
  <si>
    <t>+/-2,962</t>
  </si>
  <si>
    <t>+/-166</t>
  </si>
  <si>
    <t>+/-4,396</t>
  </si>
  <si>
    <t>+/-712</t>
  </si>
  <si>
    <t>+/-145</t>
  </si>
  <si>
    <t>+/-5,028</t>
  </si>
  <si>
    <t>+/-780</t>
  </si>
  <si>
    <t>+/-20</t>
  </si>
  <si>
    <t>+/-6,534</t>
  </si>
  <si>
    <t>+/-968</t>
  </si>
  <si>
    <t>+/-36</t>
  </si>
  <si>
    <t>+/-5,635</t>
  </si>
  <si>
    <t>+/-802</t>
  </si>
  <si>
    <t>+/-3,359</t>
  </si>
  <si>
    <t>+/-720</t>
  </si>
  <si>
    <t>+/-95</t>
  </si>
  <si>
    <t>+/-6,210</t>
  </si>
  <si>
    <t>+/-1,021</t>
  </si>
  <si>
    <t>+/-710</t>
  </si>
  <si>
    <t>+/-5,430</t>
  </si>
  <si>
    <t>+/-1,076</t>
  </si>
  <si>
    <t>+/-46</t>
  </si>
  <si>
    <t>+/-1,284</t>
  </si>
  <si>
    <t xml:space="preserve">  Public transportation (excluding taxicab):</t>
  </si>
  <si>
    <t>+/-18,136</t>
  </si>
  <si>
    <t>+/-3,469</t>
  </si>
  <si>
    <t>+/-323</t>
  </si>
  <si>
    <t>+/-2,778</t>
  </si>
  <si>
    <t>+/-500</t>
  </si>
  <si>
    <t>+/-4,346</t>
  </si>
  <si>
    <t>+/-574</t>
  </si>
  <si>
    <t>+/-174</t>
  </si>
  <si>
    <t>+/-4,984</t>
  </si>
  <si>
    <t>+/-884</t>
  </si>
  <si>
    <t>+/-175</t>
  </si>
  <si>
    <t>+/-6,486</t>
  </si>
  <si>
    <t>+/-1,074</t>
  </si>
  <si>
    <t>+/-84</t>
  </si>
  <si>
    <t>+/-4,062</t>
  </si>
  <si>
    <t>+/-564</t>
  </si>
  <si>
    <t>+/-55</t>
  </si>
  <si>
    <t>+/-8,680</t>
  </si>
  <si>
    <t>+/-1,489</t>
  </si>
  <si>
    <t>+/-6,155</t>
  </si>
  <si>
    <t>+/-1,136</t>
  </si>
  <si>
    <t>+/-8,292</t>
  </si>
  <si>
    <t>+/-1,170</t>
  </si>
  <si>
    <t>+/-14</t>
  </si>
  <si>
    <t>+/-12,499</t>
  </si>
  <si>
    <t>+/-2,137</t>
  </si>
  <si>
    <t>+/-43</t>
  </si>
  <si>
    <t xml:space="preserve">    Bus or trolley bus:</t>
  </si>
  <si>
    <t>+/-17,558</t>
  </si>
  <si>
    <t>+/-2,608</t>
  </si>
  <si>
    <t>+/-324</t>
  </si>
  <si>
    <t>+/-2,508</t>
  </si>
  <si>
    <t>+/-492</t>
  </si>
  <si>
    <t>+/-532</t>
  </si>
  <si>
    <t>+/-4,081</t>
  </si>
  <si>
    <t>+/-826</t>
  </si>
  <si>
    <t>+/-5,514</t>
  </si>
  <si>
    <t>+/-868</t>
  </si>
  <si>
    <t>+/-3,130</t>
  </si>
  <si>
    <t>+/-420</t>
  </si>
  <si>
    <t>+/-6,064</t>
  </si>
  <si>
    <t>+/-1,038</t>
  </si>
  <si>
    <t>+/-4,521</t>
  </si>
  <si>
    <t>+/-693</t>
  </si>
  <si>
    <t>+/-5,503</t>
  </si>
  <si>
    <t>+/-763</t>
  </si>
  <si>
    <t>+/-8,924</t>
  </si>
  <si>
    <t>+/-1,428</t>
  </si>
  <si>
    <t xml:space="preserve">    Streetcar or trolley car (carro publico in Puerto Rico), subway or elevated:</t>
  </si>
  <si>
    <t>+/-11,716</t>
  </si>
  <si>
    <t>+/-1,988</t>
  </si>
  <si>
    <t>+/-13</t>
  </si>
  <si>
    <t>+/-1,294</t>
  </si>
  <si>
    <t>+/-149</t>
  </si>
  <si>
    <t>+/-2,059</t>
  </si>
  <si>
    <t>+/-303</t>
  </si>
  <si>
    <t>+/-3,807</t>
  </si>
  <si>
    <t>+/-580</t>
  </si>
  <si>
    <t>+/-2,624</t>
  </si>
  <si>
    <t>+/-371</t>
  </si>
  <si>
    <t>+/-5,171</t>
  </si>
  <si>
    <t>+/-982</t>
  </si>
  <si>
    <t>+/-4,820</t>
  </si>
  <si>
    <t>+/-914</t>
  </si>
  <si>
    <t>+/-6,287</t>
  </si>
  <si>
    <t>+/-929</t>
  </si>
  <si>
    <t>+/-6,958</t>
  </si>
  <si>
    <t>+/-1,185</t>
  </si>
  <si>
    <t xml:space="preserve">    Railroad or ferryboat:</t>
  </si>
  <si>
    <t>+/-7,484</t>
  </si>
  <si>
    <t>+/-714</t>
  </si>
  <si>
    <t>+/-601</t>
  </si>
  <si>
    <t>+/-57</t>
  </si>
  <si>
    <t>+/-520</t>
  </si>
  <si>
    <t>+/-65</t>
  </si>
  <si>
    <t>+/-689</t>
  </si>
  <si>
    <t>+/-60</t>
  </si>
  <si>
    <t>+/-874</t>
  </si>
  <si>
    <t>+/-79</t>
  </si>
  <si>
    <t>+/-747</t>
  </si>
  <si>
    <t>+/-56</t>
  </si>
  <si>
    <t>+/-1,772</t>
  </si>
  <si>
    <t>+/-92</t>
  </si>
  <si>
    <t>+/-1,947</t>
  </si>
  <si>
    <t>+/-132</t>
  </si>
  <si>
    <t>+/-2,813</t>
  </si>
  <si>
    <t>+/-287</t>
  </si>
  <si>
    <t>+/-5,970</t>
  </si>
  <si>
    <t>+/-603</t>
  </si>
  <si>
    <t xml:space="preserve">  Walked:</t>
  </si>
  <si>
    <t>+/-15,196</t>
  </si>
  <si>
    <t>+/-2,797</t>
  </si>
  <si>
    <t>+/-351</t>
  </si>
  <si>
    <t>+/-12,294</t>
  </si>
  <si>
    <t>+/-2,126</t>
  </si>
  <si>
    <t>+/-165</t>
  </si>
  <si>
    <t>+/-7,389</t>
  </si>
  <si>
    <t>+/-1,152</t>
  </si>
  <si>
    <t>+/-178</t>
  </si>
  <si>
    <t>+/-5,796</t>
  </si>
  <si>
    <t>+/-819</t>
  </si>
  <si>
    <t>+/-176</t>
  </si>
  <si>
    <t>+/-4,447</t>
  </si>
  <si>
    <t>+/-571</t>
  </si>
  <si>
    <t>+/-2,016</t>
  </si>
  <si>
    <t>+/-40</t>
  </si>
  <si>
    <t>+/-3,572</t>
  </si>
  <si>
    <t>+/-83</t>
  </si>
  <si>
    <t>+/-1,383</t>
  </si>
  <si>
    <t>+/-210</t>
  </si>
  <si>
    <t>+/-27</t>
  </si>
  <si>
    <t>+/-1,652</t>
  </si>
  <si>
    <t>+/-241</t>
  </si>
  <si>
    <t>+/-45</t>
  </si>
  <si>
    <t>+/-1,682</t>
  </si>
  <si>
    <t>+/-221</t>
  </si>
  <si>
    <t>+/-37</t>
  </si>
  <si>
    <t xml:space="preserve">  Taxicab, motorcycle, bicycle, or other means:</t>
  </si>
  <si>
    <t>+/-13,671</t>
  </si>
  <si>
    <t>+/-1,788</t>
  </si>
  <si>
    <t>+/-148</t>
  </si>
  <si>
    <t>+/-6,315</t>
  </si>
  <si>
    <t>+/-658</t>
  </si>
  <si>
    <t>+/-59</t>
  </si>
  <si>
    <t>+/-4,949</t>
  </si>
  <si>
    <t>+/-760</t>
  </si>
  <si>
    <t>+/-4,145</t>
  </si>
  <si>
    <t>+/-599</t>
  </si>
  <si>
    <t>+/-94</t>
  </si>
  <si>
    <t>+/-4,154</t>
  </si>
  <si>
    <t>+/-621</t>
  </si>
  <si>
    <t>+/-2,199</t>
  </si>
  <si>
    <t>+/-296</t>
  </si>
  <si>
    <t>+/-35</t>
  </si>
  <si>
    <t>+/-4,725</t>
  </si>
  <si>
    <t>+/-695</t>
  </si>
  <si>
    <t>+/-2,121</t>
  </si>
  <si>
    <t>+/-342</t>
  </si>
  <si>
    <t>+/-2,591</t>
  </si>
  <si>
    <t>+/-359</t>
  </si>
  <si>
    <t>+/-3,657</t>
  </si>
  <si>
    <t>+/-555</t>
  </si>
  <si>
    <t>Drove Alone</t>
  </si>
  <si>
    <t>Carpool</t>
  </si>
  <si>
    <t>Bus</t>
  </si>
  <si>
    <t>Bike</t>
  </si>
  <si>
    <t>Walk</t>
  </si>
  <si>
    <t>Total</t>
  </si>
  <si>
    <t>Less than 10</t>
  </si>
  <si>
    <t>10 to 14 minutes</t>
  </si>
  <si>
    <t>15 to 19 minutes</t>
  </si>
  <si>
    <t>20 to 24 minutes</t>
  </si>
  <si>
    <t>25 to 29 minutes</t>
  </si>
  <si>
    <t>Car</t>
  </si>
  <si>
    <t>0-1 Miles</t>
  </si>
  <si>
    <t>2-4 Miles</t>
  </si>
  <si>
    <t>5-7 miles</t>
  </si>
  <si>
    <t>8-15 miles</t>
  </si>
  <si>
    <t>per segment</t>
  </si>
  <si>
    <t>per minute interval</t>
  </si>
  <si>
    <t>N/A</t>
  </si>
  <si>
    <t>Population</t>
  </si>
  <si>
    <t>Total Commuters</t>
  </si>
  <si>
    <t># of Commuters</t>
  </si>
  <si>
    <t>Miles per trip</t>
  </si>
  <si>
    <t>Passenger Miles 2011</t>
  </si>
  <si>
    <t>Commuting Vehicle Miles</t>
  </si>
  <si>
    <t>Commuting Passenger Miles</t>
  </si>
  <si>
    <t>Total VMT</t>
  </si>
  <si>
    <t>% Commuting</t>
  </si>
  <si>
    <t>Conservative Scenario</t>
  </si>
  <si>
    <t>Percentages</t>
  </si>
  <si>
    <t>Passenger Miles Travelled</t>
  </si>
  <si>
    <t>Maximum Scenario</t>
  </si>
  <si>
    <t>Aggressive Scenario</t>
  </si>
  <si>
    <t>PMT Summary</t>
  </si>
  <si>
    <t>Baseline Scenario</t>
  </si>
  <si>
    <t>VMT Summary</t>
  </si>
  <si>
    <t>Car VMT by Scenario</t>
  </si>
  <si>
    <t>Bus VMT by Scenario</t>
  </si>
  <si>
    <t>VMT Reductions</t>
  </si>
  <si>
    <t>Fuel Reductions (Gallons)</t>
  </si>
  <si>
    <t>Energy and GHG Savings</t>
  </si>
  <si>
    <t>Energy (MMBtu)</t>
  </si>
  <si>
    <t>GHG (mt)</t>
  </si>
  <si>
    <t>Commuting PMT Summary</t>
  </si>
  <si>
    <t>Commuting VMT Summary</t>
  </si>
  <si>
    <t>Commuting Fuel Reductions (Gallons)</t>
  </si>
  <si>
    <t>Commuting VMT Reductions</t>
  </si>
  <si>
    <t>Commuting Energy and GHG Savings</t>
  </si>
  <si>
    <t>Total VMT Reductions</t>
  </si>
  <si>
    <t>Total Energy and GHG Savings</t>
  </si>
  <si>
    <t>Baseline Commuting VMTs</t>
  </si>
  <si>
    <t>Conservative Commuting VMTs</t>
  </si>
  <si>
    <t>Aggressive Commuting VMTs</t>
  </si>
  <si>
    <t>Maximum Commuting VMTs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</si>
</sst>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7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SansSeri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0" fillId="0" borderId="0" xfId="1" applyNumberFormat="1" applyFont="1"/>
    <xf numFmtId="3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" fontId="2" fillId="3" borderId="4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 applyBorder="1"/>
    <xf numFmtId="0" fontId="2" fillId="2" borderId="8" xfId="0" applyFont="1" applyFill="1" applyBorder="1" applyAlignment="1">
      <alignment horizontal="left" vertical="top" wrapText="1"/>
    </xf>
    <xf numFmtId="3" fontId="0" fillId="0" borderId="0" xfId="0" applyNumberFormat="1"/>
    <xf numFmtId="3" fontId="3" fillId="0" borderId="0" xfId="0" applyNumberFormat="1" applyFont="1"/>
    <xf numFmtId="0" fontId="0" fillId="0" borderId="9" xfId="0" applyBorder="1"/>
    <xf numFmtId="0" fontId="2" fillId="2" borderId="9" xfId="0" applyFont="1" applyFill="1" applyBorder="1" applyAlignment="1">
      <alignment horizontal="left" vertical="top" wrapText="1"/>
    </xf>
    <xf numFmtId="0" fontId="3" fillId="0" borderId="9" xfId="0" applyFont="1" applyBorder="1"/>
    <xf numFmtId="3" fontId="2" fillId="2" borderId="9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5" fillId="0" borderId="9" xfId="0" applyFont="1" applyBorder="1"/>
    <xf numFmtId="0" fontId="5" fillId="0" borderId="9" xfId="0" applyFont="1" applyFill="1" applyBorder="1"/>
    <xf numFmtId="0" fontId="6" fillId="2" borderId="9" xfId="0" applyFont="1" applyFill="1" applyBorder="1" applyAlignment="1">
      <alignment horizontal="left" vertical="top" wrapText="1"/>
    </xf>
    <xf numFmtId="3" fontId="0" fillId="0" borderId="9" xfId="0" applyNumberForma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0" borderId="0" xfId="0" applyFont="1" applyAlignment="1">
      <alignment vertical="top" wrapText="1"/>
    </xf>
    <xf numFmtId="0" fontId="3" fillId="7" borderId="0" xfId="0" applyFont="1" applyFill="1"/>
    <xf numFmtId="165" fontId="0" fillId="5" borderId="9" xfId="0" applyNumberFormat="1" applyFill="1" applyBorder="1"/>
    <xf numFmtId="165" fontId="0" fillId="4" borderId="9" xfId="0" applyNumberFormat="1" applyFill="1" applyBorder="1"/>
    <xf numFmtId="165" fontId="0" fillId="6" borderId="9" xfId="0" applyNumberFormat="1" applyFill="1" applyBorder="1"/>
    <xf numFmtId="165" fontId="0" fillId="7" borderId="9" xfId="0" applyNumberFormat="1" applyFill="1" applyBorder="1"/>
    <xf numFmtId="0" fontId="0" fillId="0" borderId="0" xfId="0" applyBorder="1"/>
    <xf numFmtId="165" fontId="0" fillId="0" borderId="0" xfId="0" applyNumberFormat="1" applyFill="1" applyBorder="1"/>
    <xf numFmtId="0" fontId="3" fillId="4" borderId="9" xfId="0" applyFont="1" applyFill="1" applyBorder="1"/>
    <xf numFmtId="0" fontId="3" fillId="7" borderId="9" xfId="0" applyFont="1" applyFill="1" applyBorder="1"/>
    <xf numFmtId="0" fontId="3" fillId="6" borderId="9" xfId="0" applyFont="1" applyFill="1" applyBorder="1"/>
    <xf numFmtId="0" fontId="3" fillId="5" borderId="9" xfId="0" applyFont="1" applyFill="1" applyBorder="1"/>
    <xf numFmtId="0" fontId="3" fillId="0" borderId="9" xfId="0" applyFont="1" applyBorder="1" applyAlignment="1">
      <alignment vertical="top" wrapText="1"/>
    </xf>
    <xf numFmtId="1" fontId="0" fillId="0" borderId="9" xfId="0" applyNumberForma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3" fontId="0" fillId="0" borderId="0" xfId="0" applyNumberFormat="1" applyFont="1" applyBorder="1"/>
    <xf numFmtId="1" fontId="4" fillId="0" borderId="0" xfId="0" applyNumberFormat="1" applyFont="1" applyFill="1" applyBorder="1" applyAlignment="1">
      <alignment horizontal="left"/>
    </xf>
    <xf numFmtId="0" fontId="4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0" xfId="0" applyNumberFormat="1"/>
    <xf numFmtId="164" fontId="0" fillId="4" borderId="9" xfId="1" applyNumberFormat="1" applyFont="1" applyFill="1" applyBorder="1"/>
    <xf numFmtId="0" fontId="3" fillId="3" borderId="9" xfId="0" applyFont="1" applyFill="1" applyBorder="1"/>
    <xf numFmtId="164" fontId="0" fillId="3" borderId="9" xfId="0" applyNumberFormat="1" applyFill="1" applyBorder="1"/>
    <xf numFmtId="166" fontId="0" fillId="0" borderId="0" xfId="2" applyNumberFormat="1" applyFont="1"/>
    <xf numFmtId="166" fontId="0" fillId="0" borderId="9" xfId="2" applyNumberFormat="1" applyFont="1" applyBorder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/>
    <xf numFmtId="0" fontId="5" fillId="0" borderId="0" xfId="0" applyFont="1" applyFill="1" applyBorder="1"/>
    <xf numFmtId="0" fontId="5" fillId="0" borderId="0" xfId="0" applyFont="1"/>
    <xf numFmtId="166" fontId="3" fillId="0" borderId="9" xfId="0" applyNumberFormat="1" applyFont="1" applyBorder="1" applyAlignment="1">
      <alignment horizontal="center" wrapText="1"/>
    </xf>
    <xf numFmtId="0" fontId="3" fillId="4" borderId="10" xfId="0" applyFont="1" applyFill="1" applyBorder="1"/>
    <xf numFmtId="0" fontId="3" fillId="7" borderId="11" xfId="0" applyFont="1" applyFill="1" applyBorder="1"/>
    <xf numFmtId="0" fontId="3" fillId="6" borderId="11" xfId="0" applyFont="1" applyFill="1" applyBorder="1"/>
    <xf numFmtId="0" fontId="3" fillId="5" borderId="11" xfId="0" applyFont="1" applyFill="1" applyBorder="1"/>
    <xf numFmtId="0" fontId="5" fillId="0" borderId="12" xfId="0" applyFont="1" applyBorder="1"/>
    <xf numFmtId="166" fontId="3" fillId="0" borderId="13" xfId="0" applyNumberFormat="1" applyFont="1" applyBorder="1" applyAlignment="1">
      <alignment horizontal="center" wrapText="1"/>
    </xf>
    <xf numFmtId="166" fontId="3" fillId="0" borderId="14" xfId="0" applyNumberFormat="1" applyFont="1" applyBorder="1" applyAlignment="1">
      <alignment horizontal="center" wrapText="1"/>
    </xf>
    <xf numFmtId="166" fontId="3" fillId="0" borderId="15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166" fontId="3" fillId="0" borderId="17" xfId="0" applyNumberFormat="1" applyFont="1" applyBorder="1" applyAlignment="1">
      <alignment horizontal="center" wrapText="1"/>
    </xf>
    <xf numFmtId="0" fontId="0" fillId="0" borderId="19" xfId="0" applyBorder="1"/>
    <xf numFmtId="0" fontId="3" fillId="0" borderId="20" xfId="0" applyFont="1" applyBorder="1"/>
    <xf numFmtId="0" fontId="3" fillId="0" borderId="20" xfId="0" applyFont="1" applyBorder="1" applyAlignment="1">
      <alignment vertical="top" wrapText="1"/>
    </xf>
    <xf numFmtId="0" fontId="5" fillId="0" borderId="21" xfId="0" applyFont="1" applyBorder="1"/>
    <xf numFmtId="0" fontId="3" fillId="4" borderId="22" xfId="0" applyFont="1" applyFill="1" applyBorder="1"/>
    <xf numFmtId="0" fontId="3" fillId="7" borderId="22" xfId="0" applyFont="1" applyFill="1" applyBorder="1"/>
    <xf numFmtId="0" fontId="3" fillId="6" borderId="22" xfId="0" applyFont="1" applyFill="1" applyBorder="1"/>
    <xf numFmtId="0" fontId="3" fillId="5" borderId="22" xfId="0" applyFont="1" applyFill="1" applyBorder="1"/>
    <xf numFmtId="0" fontId="5" fillId="0" borderId="23" xfId="0" applyFont="1" applyBorder="1"/>
    <xf numFmtId="166" fontId="0" fillId="0" borderId="14" xfId="2" applyNumberFormat="1" applyFont="1" applyBorder="1" applyAlignment="1">
      <alignment horizontal="center"/>
    </xf>
    <xf numFmtId="166" fontId="0" fillId="0" borderId="16" xfId="2" applyNumberFormat="1" applyFont="1" applyBorder="1" applyAlignment="1">
      <alignment horizontal="center"/>
    </xf>
    <xf numFmtId="166" fontId="0" fillId="0" borderId="17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6" fontId="3" fillId="0" borderId="0" xfId="0" applyNumberFormat="1" applyFont="1" applyBorder="1" applyAlignment="1">
      <alignment horizontal="center" wrapText="1"/>
    </xf>
    <xf numFmtId="166" fontId="0" fillId="0" borderId="9" xfId="2" applyNumberFormat="1" applyFont="1" applyBorder="1" applyAlignment="1">
      <alignment horizontal="left"/>
    </xf>
    <xf numFmtId="166" fontId="0" fillId="0" borderId="14" xfId="2" applyNumberFormat="1" applyFont="1" applyBorder="1" applyAlignment="1">
      <alignment horizontal="left"/>
    </xf>
    <xf numFmtId="166" fontId="0" fillId="0" borderId="16" xfId="2" applyNumberFormat="1" applyFont="1" applyBorder="1" applyAlignment="1">
      <alignment horizontal="left"/>
    </xf>
    <xf numFmtId="166" fontId="0" fillId="0" borderId="17" xfId="2" applyNumberFormat="1" applyFont="1" applyBorder="1" applyAlignment="1">
      <alignment horizontal="left"/>
    </xf>
    <xf numFmtId="166" fontId="3" fillId="0" borderId="13" xfId="0" applyNumberFormat="1" applyFont="1" applyBorder="1" applyAlignment="1">
      <alignment horizontal="left" wrapText="1"/>
    </xf>
    <xf numFmtId="166" fontId="3" fillId="0" borderId="9" xfId="0" applyNumberFormat="1" applyFont="1" applyBorder="1" applyAlignment="1">
      <alignment horizontal="left" wrapText="1"/>
    </xf>
    <xf numFmtId="166" fontId="3" fillId="0" borderId="14" xfId="0" applyNumberFormat="1" applyFont="1" applyBorder="1" applyAlignment="1">
      <alignment horizontal="left" wrapText="1"/>
    </xf>
    <xf numFmtId="166" fontId="3" fillId="0" borderId="15" xfId="0" applyNumberFormat="1" applyFont="1" applyBorder="1" applyAlignment="1">
      <alignment horizontal="left" wrapText="1"/>
    </xf>
    <xf numFmtId="166" fontId="3" fillId="0" borderId="16" xfId="0" applyNumberFormat="1" applyFont="1" applyBorder="1" applyAlignment="1">
      <alignment horizontal="left" wrapText="1"/>
    </xf>
    <xf numFmtId="166" fontId="3" fillId="0" borderId="17" xfId="0" applyNumberFormat="1" applyFont="1" applyBorder="1" applyAlignment="1">
      <alignment horizontal="left" wrapText="1"/>
    </xf>
    <xf numFmtId="164" fontId="0" fillId="0" borderId="9" xfId="1" applyNumberFormat="1" applyFont="1" applyBorder="1" applyAlignment="1">
      <alignment horizontal="left"/>
    </xf>
    <xf numFmtId="0" fontId="3" fillId="4" borderId="24" xfId="0" applyFont="1" applyFill="1" applyBorder="1"/>
    <xf numFmtId="164" fontId="0" fillId="0" borderId="25" xfId="1" applyNumberFormat="1" applyFont="1" applyBorder="1" applyAlignment="1">
      <alignment horizontal="left"/>
    </xf>
    <xf numFmtId="0" fontId="3" fillId="4" borderId="26" xfId="0" applyFont="1" applyFill="1" applyBorder="1"/>
    <xf numFmtId="164" fontId="0" fillId="0" borderId="13" xfId="1" applyNumberFormat="1" applyFont="1" applyBorder="1" applyAlignment="1">
      <alignment horizontal="left"/>
    </xf>
    <xf numFmtId="164" fontId="0" fillId="0" borderId="14" xfId="1" applyNumberFormat="1" applyFont="1" applyBorder="1" applyAlignment="1">
      <alignment horizontal="left"/>
    </xf>
    <xf numFmtId="164" fontId="0" fillId="0" borderId="15" xfId="1" applyNumberFormat="1" applyFont="1" applyBorder="1" applyAlignment="1">
      <alignment horizontal="left"/>
    </xf>
    <xf numFmtId="164" fontId="0" fillId="0" borderId="16" xfId="1" applyNumberFormat="1" applyFont="1" applyBorder="1" applyAlignment="1">
      <alignment horizontal="left"/>
    </xf>
    <xf numFmtId="164" fontId="0" fillId="0" borderId="17" xfId="1" applyNumberFormat="1" applyFont="1" applyBorder="1" applyAlignment="1">
      <alignment horizontal="left"/>
    </xf>
    <xf numFmtId="0" fontId="5" fillId="0" borderId="23" xfId="0" applyFont="1" applyFill="1" applyBorder="1"/>
    <xf numFmtId="0" fontId="5" fillId="0" borderId="26" xfId="0" applyFont="1" applyFill="1" applyBorder="1"/>
    <xf numFmtId="0" fontId="5" fillId="0" borderId="22" xfId="0" applyFont="1" applyFill="1" applyBorder="1"/>
    <xf numFmtId="0" fontId="0" fillId="0" borderId="28" xfId="0" applyBorder="1"/>
    <xf numFmtId="0" fontId="3" fillId="0" borderId="29" xfId="0" applyFont="1" applyBorder="1"/>
    <xf numFmtId="0" fontId="3" fillId="0" borderId="29" xfId="0" applyFont="1" applyBorder="1" applyAlignment="1">
      <alignment vertical="top" wrapText="1"/>
    </xf>
    <xf numFmtId="0" fontId="5" fillId="0" borderId="30" xfId="0" applyFont="1" applyBorder="1"/>
    <xf numFmtId="164" fontId="0" fillId="0" borderId="9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left"/>
    </xf>
    <xf numFmtId="0" fontId="3" fillId="0" borderId="0" xfId="0" applyFont="1" applyBorder="1"/>
    <xf numFmtId="0" fontId="0" fillId="0" borderId="26" xfId="0" applyBorder="1"/>
    <xf numFmtId="0" fontId="3" fillId="0" borderId="13" xfId="0" applyFont="1" applyBorder="1"/>
    <xf numFmtId="0" fontId="3" fillId="0" borderId="13" xfId="0" applyFont="1" applyBorder="1" applyAlignment="1">
      <alignment vertical="top" wrapText="1"/>
    </xf>
    <xf numFmtId="0" fontId="5" fillId="0" borderId="15" xfId="0" applyFont="1" applyBorder="1"/>
    <xf numFmtId="0" fontId="5" fillId="0" borderId="18" xfId="0" applyFont="1" applyBorder="1" applyAlignment="1"/>
    <xf numFmtId="3" fontId="0" fillId="0" borderId="9" xfId="1" applyNumberFormat="1" applyFont="1" applyBorder="1" applyAlignment="1">
      <alignment horizontal="left"/>
    </xf>
    <xf numFmtId="164" fontId="0" fillId="0" borderId="9" xfId="1" applyNumberFormat="1" applyFont="1" applyBorder="1" applyAlignment="1">
      <alignment horizontal="right"/>
    </xf>
    <xf numFmtId="164" fontId="0" fillId="0" borderId="16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3" fontId="0" fillId="0" borderId="9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0" fontId="3" fillId="0" borderId="15" xfId="0" applyFont="1" applyBorder="1" applyAlignment="1">
      <alignment vertical="top" wrapText="1"/>
    </xf>
    <xf numFmtId="3" fontId="0" fillId="0" borderId="16" xfId="1" applyNumberFormat="1" applyFont="1" applyBorder="1" applyAlignment="1">
      <alignment horizontal="right"/>
    </xf>
    <xf numFmtId="3" fontId="0" fillId="0" borderId="17" xfId="1" applyNumberFormat="1" applyFont="1" applyBorder="1" applyAlignment="1">
      <alignment horizontal="right"/>
    </xf>
    <xf numFmtId="1" fontId="0" fillId="0" borderId="0" xfId="0" applyNumberFormat="1"/>
    <xf numFmtId="0" fontId="5" fillId="0" borderId="18" xfId="0" applyFont="1" applyBorder="1" applyAlignment="1">
      <alignment horizontal="center"/>
    </xf>
    <xf numFmtId="164" fontId="0" fillId="0" borderId="27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2" fillId="8" borderId="0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3" fontId="2" fillId="8" borderId="1" xfId="0" applyNumberFormat="1" applyFont="1" applyFill="1" applyBorder="1" applyAlignment="1">
      <alignment horizontal="left" vertical="top" wrapText="1"/>
    </xf>
    <xf numFmtId="0" fontId="2" fillId="8" borderId="1" xfId="0" applyNumberFormat="1" applyFont="1" applyFill="1" applyBorder="1" applyAlignment="1">
      <alignment horizontal="left" vertical="top" wrapText="1"/>
    </xf>
    <xf numFmtId="0" fontId="5" fillId="8" borderId="23" xfId="0" applyFont="1" applyFill="1" applyBorder="1"/>
    <xf numFmtId="164" fontId="0" fillId="8" borderId="14" xfId="1" applyNumberFormat="1" applyFont="1" applyFill="1" applyBorder="1" applyAlignment="1">
      <alignment horizontal="left"/>
    </xf>
    <xf numFmtId="164" fontId="0" fillId="8" borderId="17" xfId="1" applyNumberFormat="1" applyFont="1" applyFill="1" applyBorder="1" applyAlignment="1">
      <alignment horizontal="left"/>
    </xf>
    <xf numFmtId="3" fontId="2" fillId="8" borderId="4" xfId="0" applyNumberFormat="1" applyFont="1" applyFill="1" applyBorder="1" applyAlignment="1">
      <alignment horizontal="left" vertical="top" wrapText="1"/>
    </xf>
    <xf numFmtId="0" fontId="0" fillId="8" borderId="0" xfId="0" applyFill="1"/>
    <xf numFmtId="0" fontId="2" fillId="0" borderId="0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85138888888889"/>
          <c:y val="3.2407407407407419E-2"/>
        </c:manualLayout>
      </c:layout>
    </c:title>
    <c:plotArea>
      <c:layout/>
      <c:pieChart>
        <c:varyColors val="1"/>
        <c:ser>
          <c:idx val="0"/>
          <c:order val="0"/>
          <c:tx>
            <c:v>Conservative</c:v>
          </c:tx>
          <c:dLbls>
            <c:showPercent val="1"/>
          </c:dLbls>
          <c:cat>
            <c:strRef>
              <c:f>Sheet1!$I$53:$I$56</c:f>
              <c:strCache>
                <c:ptCount val="4"/>
                <c:pt idx="0">
                  <c:v>Car</c:v>
                </c:pt>
                <c:pt idx="1">
                  <c:v>Bus</c:v>
                </c:pt>
                <c:pt idx="2">
                  <c:v>Bike</c:v>
                </c:pt>
                <c:pt idx="3">
                  <c:v>Walk</c:v>
                </c:pt>
              </c:strCache>
            </c:strRef>
          </c:cat>
          <c:val>
            <c:numRef>
              <c:f>Sheet1!$N$78:$N$81</c:f>
              <c:numCache>
                <c:formatCode>_(* #,##0_);_(* \(#,##0\);_(* "-"??_);_(@_)</c:formatCode>
                <c:ptCount val="4"/>
                <c:pt idx="0">
                  <c:v>49368744.287904292</c:v>
                </c:pt>
                <c:pt idx="1">
                  <c:v>6271117.4369833898</c:v>
                </c:pt>
                <c:pt idx="2">
                  <c:v>1459315.6039583222</c:v>
                </c:pt>
                <c:pt idx="3">
                  <c:v>1478416.5935389283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Sheet1!$P$134</c:f>
              <c:strCache>
                <c:ptCount val="1"/>
                <c:pt idx="0">
                  <c:v>Car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Sheet1!$Q$134:$U$134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33184066.468123179</c:v>
                </c:pt>
                <c:pt idx="2">
                  <c:v>27799887.285455044</c:v>
                </c:pt>
                <c:pt idx="3">
                  <c:v>21117078.816349935</c:v>
                </c:pt>
                <c:pt idx="4">
                  <c:v>13182575.243766168</c:v>
                </c:pt>
              </c:numCache>
            </c:numRef>
          </c:val>
        </c:ser>
        <c:ser>
          <c:idx val="1"/>
          <c:order val="1"/>
          <c:tx>
            <c:strRef>
              <c:f>Sheet1!$P$54</c:f>
              <c:strCache>
                <c:ptCount val="1"/>
                <c:pt idx="0">
                  <c:v>Bus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Sheet1!$Q$135:$U$135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396427.34143435193</c:v>
                </c:pt>
                <c:pt idx="2">
                  <c:v>646725.09872714267</c:v>
                </c:pt>
                <c:pt idx="3">
                  <c:v>931168.66849809047</c:v>
                </c:pt>
                <c:pt idx="4">
                  <c:v>1254223.487396678</c:v>
                </c:pt>
              </c:numCache>
            </c:numRef>
          </c:val>
        </c:ser>
        <c:overlap val="100"/>
        <c:axId val="92486272"/>
        <c:axId val="92504448"/>
      </c:barChart>
      <c:catAx>
        <c:axId val="92486272"/>
        <c:scaling>
          <c:orientation val="minMax"/>
        </c:scaling>
        <c:axPos val="b"/>
        <c:numFmt formatCode="General" sourceLinked="1"/>
        <c:tickLblPos val="nextTo"/>
        <c:crossAx val="92504448"/>
        <c:crosses val="autoZero"/>
        <c:auto val="1"/>
        <c:lblAlgn val="ctr"/>
        <c:lblOffset val="100"/>
      </c:catAx>
      <c:valAx>
        <c:axId val="9250444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248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1725699912510952"/>
          <c:y val="3.7037037037037049E-2"/>
        </c:manualLayout>
      </c:layout>
    </c:title>
    <c:plotArea>
      <c:layout/>
      <c:pieChart>
        <c:varyColors val="1"/>
        <c:ser>
          <c:idx val="0"/>
          <c:order val="0"/>
          <c:tx>
            <c:v>Aggressive</c:v>
          </c:tx>
          <c:dLbls>
            <c:showPercent val="1"/>
          </c:dLbls>
          <c:cat>
            <c:strRef>
              <c:f>Sheet1!$I$53:$I$56</c:f>
              <c:strCache>
                <c:ptCount val="4"/>
                <c:pt idx="0">
                  <c:v>Car</c:v>
                </c:pt>
                <c:pt idx="1">
                  <c:v>Bus</c:v>
                </c:pt>
                <c:pt idx="2">
                  <c:v>Bike</c:v>
                </c:pt>
                <c:pt idx="3">
                  <c:v>Walk</c:v>
                </c:pt>
              </c:strCache>
            </c:strRef>
          </c:cat>
          <c:val>
            <c:numRef>
              <c:f>Sheet1!$N$106:$N$109</c:f>
              <c:numCache>
                <c:formatCode>_(* #,##0_);_(* \(#,##0\);_(* "-"??_);_(@_)</c:formatCode>
                <c:ptCount val="4"/>
                <c:pt idx="0">
                  <c:v>28210711.021659601</c:v>
                </c:pt>
                <c:pt idx="1">
                  <c:v>18813352.310950164</c:v>
                </c:pt>
                <c:pt idx="2">
                  <c:v>2918631.2079166444</c:v>
                </c:pt>
                <c:pt idx="3">
                  <c:v>1971222.1247185711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1931933508311472"/>
          <c:y val="6.4814814814814839E-2"/>
        </c:manualLayout>
      </c:layout>
    </c:title>
    <c:plotArea>
      <c:layout/>
      <c:pieChart>
        <c:varyColors val="1"/>
        <c:ser>
          <c:idx val="0"/>
          <c:order val="0"/>
          <c:tx>
            <c:v>Maximum</c:v>
          </c:tx>
          <c:dLbls>
            <c:showPercent val="1"/>
          </c:dLbls>
          <c:cat>
            <c:strRef>
              <c:f>Sheet1!$I$53:$I$56</c:f>
              <c:strCache>
                <c:ptCount val="4"/>
                <c:pt idx="0">
                  <c:v>Car</c:v>
                </c:pt>
                <c:pt idx="1">
                  <c:v>Bus</c:v>
                </c:pt>
                <c:pt idx="2">
                  <c:v>Bike</c:v>
                </c:pt>
                <c:pt idx="3">
                  <c:v>Walk</c:v>
                </c:pt>
              </c:strCache>
            </c:strRef>
          </c:cat>
          <c:val>
            <c:numRef>
              <c:f>Sheet1!$N$134:$N$137</c:f>
              <c:numCache>
                <c:formatCode>_(* #,##0_);_(* \(#,##0\);_(* "-"??_);_(@_)</c:formatCode>
                <c:ptCount val="4"/>
                <c:pt idx="0">
                  <c:v>14105355.510829801</c:v>
                </c:pt>
                <c:pt idx="1">
                  <c:v>25084469.747933559</c:v>
                </c:pt>
                <c:pt idx="2">
                  <c:v>5837262.4158332888</c:v>
                </c:pt>
                <c:pt idx="3">
                  <c:v>1971222.1247185711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1281255468066504"/>
          <c:y val="2.7874564459930324E-2"/>
        </c:manualLayout>
      </c:layout>
    </c:title>
    <c:plotArea>
      <c:layout>
        <c:manualLayout>
          <c:layoutTarget val="inner"/>
          <c:xMode val="edge"/>
          <c:yMode val="edge"/>
          <c:x val="0.20924562554680673"/>
          <c:y val="0.25315774552571174"/>
          <c:w val="0.38677952755905531"/>
          <c:h val="0.64687865236357756"/>
        </c:manualLayout>
      </c:layout>
      <c:pieChart>
        <c:varyColors val="1"/>
        <c:ser>
          <c:idx val="0"/>
          <c:order val="0"/>
          <c:tx>
            <c:v>Baseline</c:v>
          </c:tx>
          <c:dLbls>
            <c:dLbl>
              <c:idx val="1"/>
              <c:layout>
                <c:manualLayout>
                  <c:x val="9.9151356080490038E-3"/>
                  <c:y val="-5.936696937273089E-3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Sheet1!$I$53:$I$56</c:f>
              <c:strCache>
                <c:ptCount val="4"/>
                <c:pt idx="0">
                  <c:v>Car</c:v>
                </c:pt>
                <c:pt idx="1">
                  <c:v>Bus</c:v>
                </c:pt>
                <c:pt idx="2">
                  <c:v>Bike</c:v>
                </c:pt>
                <c:pt idx="3">
                  <c:v>Walk</c:v>
                </c:pt>
              </c:strCache>
            </c:strRef>
          </c:cat>
          <c:val>
            <c:numRef>
              <c:f>Sheet1!$N$53:$N$56</c:f>
              <c:numCache>
                <c:formatCode>_(* #,##0_);_(* \(#,##0\);_(* "-"??_);_(@_)</c:formatCode>
                <c:ptCount val="4"/>
                <c:pt idx="0">
                  <c:v>55022739.732161291</c:v>
                </c:pt>
                <c:pt idx="1">
                  <c:v>4974735.1769011067</c:v>
                </c:pt>
                <c:pt idx="2">
                  <c:v>1012446.1870823448</c:v>
                </c:pt>
                <c:pt idx="3">
                  <c:v>1042925.5880023638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75527077865266834"/>
          <c:y val="0.48131068982230907"/>
          <c:w val="0.17250699912510942"/>
          <c:h val="0.51577601580290244"/>
        </c:manualLayout>
      </c:layout>
      <c:txPr>
        <a:bodyPr/>
        <a:lstStyle/>
        <a:p>
          <a:pPr rtl="0">
            <a:defRPr sz="1800"/>
          </a:pPr>
          <a:endParaRPr lang="en-US"/>
        </a:p>
      </c:txPr>
    </c:legend>
    <c:plotVisOnly val="1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Baseline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Sheet1!$Q$53:$U$53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40762221.896011591</c:v>
                </c:pt>
                <c:pt idx="2">
                  <c:v>44254827.427668825</c:v>
                </c:pt>
                <c:pt idx="3">
                  <c:v>47747432.959326051</c:v>
                </c:pt>
                <c:pt idx="4">
                  <c:v>51423121.245010547</c:v>
                </c:pt>
              </c:numCache>
            </c:numRef>
          </c:val>
        </c:ser>
        <c:ser>
          <c:idx val="1"/>
          <c:order val="1"/>
          <c:tx>
            <c:v>Conservative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Sheet1!$Q$78:$U$78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39715066.583409391</c:v>
                </c:pt>
                <c:pt idx="2">
                  <c:v>41981071.214506596</c:v>
                </c:pt>
                <c:pt idx="3">
                  <c:v>44067630.257645972</c:v>
                </c:pt>
                <c:pt idx="4">
                  <c:v>46139013.353181578</c:v>
                </c:pt>
              </c:numCache>
            </c:numRef>
          </c:val>
        </c:ser>
        <c:ser>
          <c:idx val="2"/>
          <c:order val="2"/>
          <c:tx>
            <c:v>Aggressive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Sheet1!$Q$106:$U$106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35796466.514237672</c:v>
                </c:pt>
                <c:pt idx="2">
                  <c:v>33472360.857075665</c:v>
                </c:pt>
                <c:pt idx="3">
                  <c:v>30297299.392868351</c:v>
                </c:pt>
                <c:pt idx="4">
                  <c:v>26365150.487532336</c:v>
                </c:pt>
              </c:numCache>
            </c:numRef>
          </c:val>
        </c:ser>
        <c:ser>
          <c:idx val="3"/>
          <c:order val="3"/>
          <c:tx>
            <c:v>Maximum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Sheet1!$Q$134:$U$134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33184066.468123179</c:v>
                </c:pt>
                <c:pt idx="2">
                  <c:v>27799887.285455044</c:v>
                </c:pt>
                <c:pt idx="3">
                  <c:v>21117078.816349935</c:v>
                </c:pt>
                <c:pt idx="4">
                  <c:v>13182575.243766168</c:v>
                </c:pt>
              </c:numCache>
            </c:numRef>
          </c:val>
        </c:ser>
        <c:marker val="1"/>
        <c:axId val="90383488"/>
        <c:axId val="90385024"/>
      </c:lineChart>
      <c:catAx>
        <c:axId val="90383488"/>
        <c:scaling>
          <c:orientation val="minMax"/>
        </c:scaling>
        <c:axPos val="b"/>
        <c:numFmt formatCode="General" sourceLinked="1"/>
        <c:tickLblPos val="nextTo"/>
        <c:crossAx val="90385024"/>
        <c:crosses val="autoZero"/>
        <c:auto val="1"/>
        <c:lblAlgn val="ctr"/>
        <c:lblOffset val="100"/>
      </c:catAx>
      <c:valAx>
        <c:axId val="9038502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0383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Baseline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Sheet1!$Q$54:$U$54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197169.34157746474</c:v>
                </c:pt>
                <c:pt idx="2">
                  <c:v>214063.28653521123</c:v>
                </c:pt>
                <c:pt idx="3">
                  <c:v>230957.23149295771</c:v>
                </c:pt>
                <c:pt idx="4">
                  <c:v>248736.75884505533</c:v>
                </c:pt>
              </c:numCache>
            </c:numRef>
          </c:val>
        </c:ser>
        <c:ser>
          <c:idx val="1"/>
          <c:order val="1"/>
          <c:tx>
            <c:v>Conservative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Sheet1!$Q$79:$U$79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210014.5899959119</c:v>
                </c:pt>
                <c:pt idx="2">
                  <c:v>241955.00713248987</c:v>
                </c:pt>
                <c:pt idx="3">
                  <c:v>276096.64802945219</c:v>
                </c:pt>
                <c:pt idx="4">
                  <c:v>313555.87184916949</c:v>
                </c:pt>
              </c:numCache>
            </c:numRef>
          </c:val>
        </c:ser>
        <c:ser>
          <c:idx val="2"/>
          <c:order val="2"/>
          <c:tx>
            <c:v>Aggressive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Sheet1!$Q$107:$U$107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334289.75762153859</c:v>
                </c:pt>
                <c:pt idx="2">
                  <c:v>511801.73486225831</c:v>
                </c:pt>
                <c:pt idx="3">
                  <c:v>712811.32834187755</c:v>
                </c:pt>
                <c:pt idx="4">
                  <c:v>940667.61554750823</c:v>
                </c:pt>
              </c:numCache>
            </c:numRef>
          </c:val>
        </c:ser>
        <c:ser>
          <c:idx val="3"/>
          <c:order val="3"/>
          <c:tx>
            <c:v>Maximum</c:v>
          </c:tx>
          <c:marker>
            <c:symbol val="none"/>
          </c:marker>
          <c:cat>
            <c:numRef>
              <c:f>Sheet1!$Q$133:$U$133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Sheet1!$Q$135:$U$135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396427.34143435193</c:v>
                </c:pt>
                <c:pt idx="2">
                  <c:v>646725.09872714267</c:v>
                </c:pt>
                <c:pt idx="3">
                  <c:v>931168.66849809047</c:v>
                </c:pt>
                <c:pt idx="4">
                  <c:v>1254223.487396678</c:v>
                </c:pt>
              </c:numCache>
            </c:numRef>
          </c:val>
        </c:ser>
        <c:marker val="1"/>
        <c:axId val="90419584"/>
        <c:axId val="90421120"/>
      </c:lineChart>
      <c:catAx>
        <c:axId val="90419584"/>
        <c:scaling>
          <c:orientation val="minMax"/>
        </c:scaling>
        <c:axPos val="b"/>
        <c:numFmt formatCode="General" sourceLinked="1"/>
        <c:tickLblPos val="nextTo"/>
        <c:crossAx val="90421120"/>
        <c:crosses val="autoZero"/>
        <c:auto val="1"/>
        <c:lblAlgn val="ctr"/>
        <c:lblOffset val="100"/>
      </c:catAx>
      <c:valAx>
        <c:axId val="9042112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0419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Sheet1!$P$53</c:f>
              <c:strCache>
                <c:ptCount val="1"/>
                <c:pt idx="0">
                  <c:v>Car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Sheet1!$Q$53:$U$53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40762221.896011591</c:v>
                </c:pt>
                <c:pt idx="2">
                  <c:v>44254827.427668825</c:v>
                </c:pt>
                <c:pt idx="3">
                  <c:v>47747432.959326051</c:v>
                </c:pt>
                <c:pt idx="4">
                  <c:v>51423121.245010547</c:v>
                </c:pt>
              </c:numCache>
            </c:numRef>
          </c:val>
        </c:ser>
        <c:ser>
          <c:idx val="1"/>
          <c:order val="1"/>
          <c:tx>
            <c:strRef>
              <c:f>Sheet1!$P$54</c:f>
              <c:strCache>
                <c:ptCount val="1"/>
                <c:pt idx="0">
                  <c:v>Bus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Sheet1!$Q$54:$U$54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197169.34157746474</c:v>
                </c:pt>
                <c:pt idx="2">
                  <c:v>214063.28653521123</c:v>
                </c:pt>
                <c:pt idx="3">
                  <c:v>230957.23149295771</c:v>
                </c:pt>
                <c:pt idx="4">
                  <c:v>248736.75884505533</c:v>
                </c:pt>
              </c:numCache>
            </c:numRef>
          </c:val>
        </c:ser>
        <c:overlap val="100"/>
        <c:axId val="91727744"/>
        <c:axId val="91729280"/>
      </c:barChart>
      <c:catAx>
        <c:axId val="91727744"/>
        <c:scaling>
          <c:orientation val="minMax"/>
        </c:scaling>
        <c:axPos val="b"/>
        <c:numFmt formatCode="General" sourceLinked="1"/>
        <c:tickLblPos val="nextTo"/>
        <c:crossAx val="91729280"/>
        <c:crosses val="autoZero"/>
        <c:auto val="1"/>
        <c:lblAlgn val="ctr"/>
        <c:lblOffset val="100"/>
      </c:catAx>
      <c:valAx>
        <c:axId val="9172928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1727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Sheet1!$P$53</c:f>
              <c:strCache>
                <c:ptCount val="1"/>
                <c:pt idx="0">
                  <c:v>Car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Sheet1!$Q$78:$U$78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39715066.583409391</c:v>
                </c:pt>
                <c:pt idx="2">
                  <c:v>41981071.214506596</c:v>
                </c:pt>
                <c:pt idx="3">
                  <c:v>44067630.257645972</c:v>
                </c:pt>
                <c:pt idx="4">
                  <c:v>46139013.353181578</c:v>
                </c:pt>
              </c:numCache>
            </c:numRef>
          </c:val>
        </c:ser>
        <c:ser>
          <c:idx val="1"/>
          <c:order val="1"/>
          <c:tx>
            <c:strRef>
              <c:f>Sheet1!$P$54</c:f>
              <c:strCache>
                <c:ptCount val="1"/>
                <c:pt idx="0">
                  <c:v>Bus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Sheet1!$Q$79:$U$79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210014.5899959119</c:v>
                </c:pt>
                <c:pt idx="2">
                  <c:v>241955.00713248987</c:v>
                </c:pt>
                <c:pt idx="3">
                  <c:v>276096.64802945219</c:v>
                </c:pt>
                <c:pt idx="4">
                  <c:v>313555.87184916949</c:v>
                </c:pt>
              </c:numCache>
            </c:numRef>
          </c:val>
        </c:ser>
        <c:overlap val="100"/>
        <c:axId val="91749760"/>
        <c:axId val="92034176"/>
      </c:barChart>
      <c:catAx>
        <c:axId val="91749760"/>
        <c:scaling>
          <c:orientation val="minMax"/>
        </c:scaling>
        <c:axPos val="b"/>
        <c:numFmt formatCode="General" sourceLinked="1"/>
        <c:tickLblPos val="nextTo"/>
        <c:crossAx val="92034176"/>
        <c:crosses val="autoZero"/>
        <c:auto val="1"/>
        <c:lblAlgn val="ctr"/>
        <c:lblOffset val="100"/>
      </c:catAx>
      <c:valAx>
        <c:axId val="9203417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1749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Sheet1!$P$53</c:f>
              <c:strCache>
                <c:ptCount val="1"/>
                <c:pt idx="0">
                  <c:v>Car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Sheet1!$Q$106:$U$106</c:f>
              <c:numCache>
                <c:formatCode>_(* #,##0_);_(* \(#,##0\);_(* "-"??_);_(@_)</c:formatCode>
                <c:ptCount val="5"/>
                <c:pt idx="0">
                  <c:v>37252127.102803744</c:v>
                </c:pt>
                <c:pt idx="1">
                  <c:v>35796466.514237672</c:v>
                </c:pt>
                <c:pt idx="2">
                  <c:v>33472360.857075665</c:v>
                </c:pt>
                <c:pt idx="3">
                  <c:v>30297299.392868351</c:v>
                </c:pt>
                <c:pt idx="4">
                  <c:v>26365150.487532336</c:v>
                </c:pt>
              </c:numCache>
            </c:numRef>
          </c:val>
        </c:ser>
        <c:ser>
          <c:idx val="1"/>
          <c:order val="1"/>
          <c:tx>
            <c:strRef>
              <c:f>Sheet1!$P$54</c:f>
              <c:strCache>
                <c:ptCount val="1"/>
                <c:pt idx="0">
                  <c:v>Bus</c:v>
                </c:pt>
              </c:strCache>
            </c:strRef>
          </c:tx>
          <c:cat>
            <c:numRef>
              <c:f>Sheet1!$Q$52:$U$52</c:f>
              <c:numCache>
                <c:formatCode>General</c:formatCode>
                <c:ptCount val="5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</c:numCache>
            </c:numRef>
          </c:cat>
          <c:val>
            <c:numRef>
              <c:f>Sheet1!$Q$107:$U$107</c:f>
              <c:numCache>
                <c:formatCode>_(* #,##0_);_(* \(#,##0\);_(* "-"??_);_(@_)</c:formatCode>
                <c:ptCount val="5"/>
                <c:pt idx="0">
                  <c:v>180190.79999999996</c:v>
                </c:pt>
                <c:pt idx="1">
                  <c:v>334289.75762153859</c:v>
                </c:pt>
                <c:pt idx="2">
                  <c:v>511801.73486225831</c:v>
                </c:pt>
                <c:pt idx="3">
                  <c:v>712811.32834187755</c:v>
                </c:pt>
                <c:pt idx="4">
                  <c:v>940667.61554750823</c:v>
                </c:pt>
              </c:numCache>
            </c:numRef>
          </c:val>
        </c:ser>
        <c:overlap val="100"/>
        <c:axId val="92054656"/>
        <c:axId val="92056192"/>
      </c:barChart>
      <c:catAx>
        <c:axId val="92054656"/>
        <c:scaling>
          <c:orientation val="minMax"/>
        </c:scaling>
        <c:axPos val="b"/>
        <c:numFmt formatCode="General" sourceLinked="1"/>
        <c:tickLblPos val="nextTo"/>
        <c:crossAx val="92056192"/>
        <c:crosses val="autoZero"/>
        <c:auto val="1"/>
        <c:lblAlgn val="ctr"/>
        <c:lblOffset val="100"/>
      </c:catAx>
      <c:valAx>
        <c:axId val="9205619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2054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145</xdr:row>
      <xdr:rowOff>114300</xdr:rowOff>
    </xdr:from>
    <xdr:to>
      <xdr:col>19</xdr:col>
      <xdr:colOff>190500</xdr:colOff>
      <xdr:row>162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1133475</xdr:colOff>
      <xdr:row>161</xdr:row>
      <xdr:rowOff>104775</xdr:rowOff>
    </xdr:from>
    <xdr:to>
      <xdr:col>13</xdr:col>
      <xdr:colOff>619125</xdr:colOff>
      <xdr:row>178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161</xdr:row>
      <xdr:rowOff>104775</xdr:rowOff>
    </xdr:from>
    <xdr:to>
      <xdr:col>19</xdr:col>
      <xdr:colOff>190500</xdr:colOff>
      <xdr:row>178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1371600</xdr:colOff>
      <xdr:row>145</xdr:row>
      <xdr:rowOff>95250</xdr:rowOff>
    </xdr:from>
    <xdr:to>
      <xdr:col>14</xdr:col>
      <xdr:colOff>104775</xdr:colOff>
      <xdr:row>162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352425</xdr:colOff>
      <xdr:row>145</xdr:row>
      <xdr:rowOff>114300</xdr:rowOff>
    </xdr:from>
    <xdr:to>
      <xdr:col>30</xdr:col>
      <xdr:colOff>466725</xdr:colOff>
      <xdr:row>162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419100</xdr:colOff>
      <xdr:row>166</xdr:row>
      <xdr:rowOff>57150</xdr:rowOff>
    </xdr:from>
    <xdr:to>
      <xdr:col>30</xdr:col>
      <xdr:colOff>533400</xdr:colOff>
      <xdr:row>183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523875</xdr:colOff>
      <xdr:row>48</xdr:row>
      <xdr:rowOff>76200</xdr:rowOff>
    </xdr:from>
    <xdr:to>
      <xdr:col>39</xdr:col>
      <xdr:colOff>133350</xdr:colOff>
      <xdr:row>65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428625</xdr:colOff>
      <xdr:row>69</xdr:row>
      <xdr:rowOff>28575</xdr:rowOff>
    </xdr:from>
    <xdr:to>
      <xdr:col>40</xdr:col>
      <xdr:colOff>38100</xdr:colOff>
      <xdr:row>85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438150</xdr:colOff>
      <xdr:row>88</xdr:row>
      <xdr:rowOff>142875</xdr:rowOff>
    </xdr:from>
    <xdr:to>
      <xdr:col>40</xdr:col>
      <xdr:colOff>47625</xdr:colOff>
      <xdr:row>104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419100</xdr:colOff>
      <xdr:row>107</xdr:row>
      <xdr:rowOff>76200</xdr:rowOff>
    </xdr:from>
    <xdr:to>
      <xdr:col>40</xdr:col>
      <xdr:colOff>28575</xdr:colOff>
      <xdr:row>124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66"/>
  <sheetViews>
    <sheetView tabSelected="1" topLeftCell="A16" workbookViewId="0">
      <selection activeCell="AI75" sqref="AI75"/>
    </sheetView>
  </sheetViews>
  <sheetFormatPr defaultRowHeight="12.75"/>
  <cols>
    <col min="1" max="1" width="41" customWidth="1"/>
    <col min="2" max="2" width="11.140625" bestFit="1" customWidth="1"/>
    <col min="3" max="3" width="9.85546875" bestFit="1" customWidth="1"/>
    <col min="4" max="4" width="9.140625" bestFit="1" customWidth="1"/>
    <col min="5" max="5" width="8.5703125" bestFit="1" customWidth="1"/>
    <col min="6" max="6" width="8.42578125" style="152" bestFit="1" customWidth="1"/>
    <col min="7" max="7" width="8.5703125" style="152" bestFit="1" customWidth="1"/>
    <col min="9" max="9" width="30.140625" bestFit="1" customWidth="1"/>
    <col min="10" max="10" width="12.28515625" bestFit="1" customWidth="1"/>
    <col min="11" max="14" width="11.28515625" bestFit="1" customWidth="1"/>
    <col min="15" max="16" width="10.28515625" bestFit="1" customWidth="1"/>
    <col min="17" max="24" width="11.28515625" bestFit="1" customWidth="1"/>
    <col min="25" max="25" width="10.85546875" bestFit="1" customWidth="1"/>
    <col min="26" max="28" width="11.42578125" bestFit="1" customWidth="1"/>
    <col min="29" max="29" width="11.28515625" bestFit="1" customWidth="1"/>
    <col min="30" max="30" width="10.28515625" bestFit="1" customWidth="1"/>
    <col min="31" max="35" width="12.28515625" bestFit="1" customWidth="1"/>
    <col min="36" max="36" width="25.28515625" bestFit="1" customWidth="1"/>
    <col min="37" max="41" width="12.28515625" bestFit="1" customWidth="1"/>
  </cols>
  <sheetData>
    <row r="1" spans="1:41">
      <c r="A1" s="138" t="s">
        <v>0</v>
      </c>
      <c r="B1" s="138"/>
      <c r="C1" s="1"/>
      <c r="D1" s="1"/>
      <c r="E1" s="1"/>
      <c r="F1" s="153"/>
      <c r="G1" s="153"/>
    </row>
    <row r="2" spans="1:41">
      <c r="A2" s="5" t="s">
        <v>1</v>
      </c>
      <c r="B2" s="137" t="s">
        <v>2</v>
      </c>
      <c r="C2" s="139"/>
      <c r="D2" s="137" t="s">
        <v>3</v>
      </c>
      <c r="E2" s="137"/>
      <c r="F2" s="144" t="s">
        <v>4</v>
      </c>
      <c r="G2" s="144"/>
    </row>
    <row r="3" spans="1:41" ht="25.5">
      <c r="A3" s="3"/>
      <c r="B3" s="4" t="s">
        <v>5</v>
      </c>
      <c r="C3" s="2" t="s">
        <v>6</v>
      </c>
      <c r="D3" s="2" t="s">
        <v>5</v>
      </c>
      <c r="E3" s="2" t="s">
        <v>6</v>
      </c>
      <c r="F3" s="145" t="s">
        <v>5</v>
      </c>
      <c r="G3" s="145" t="s">
        <v>6</v>
      </c>
      <c r="I3" s="20" t="s">
        <v>353</v>
      </c>
      <c r="J3" s="18"/>
      <c r="K3" s="18">
        <v>0</v>
      </c>
      <c r="L3" s="18">
        <v>1</v>
      </c>
      <c r="M3" s="18">
        <v>2</v>
      </c>
      <c r="N3" s="18">
        <v>3</v>
      </c>
      <c r="O3" s="18">
        <v>4</v>
      </c>
      <c r="P3" s="18">
        <v>5</v>
      </c>
      <c r="Q3" s="18">
        <v>6</v>
      </c>
      <c r="R3" s="18">
        <v>7</v>
      </c>
      <c r="S3" s="18">
        <v>8</v>
      </c>
      <c r="T3" s="18">
        <v>9</v>
      </c>
      <c r="U3" s="18">
        <v>10</v>
      </c>
      <c r="V3" s="18">
        <v>11</v>
      </c>
      <c r="W3" s="18">
        <v>12</v>
      </c>
      <c r="X3" s="18">
        <v>13</v>
      </c>
      <c r="Y3" s="18">
        <v>14</v>
      </c>
      <c r="Z3" s="18">
        <v>15</v>
      </c>
      <c r="AA3" s="18">
        <v>16</v>
      </c>
      <c r="AB3" s="18">
        <v>17</v>
      </c>
      <c r="AC3" s="18">
        <v>18</v>
      </c>
      <c r="AD3" s="18">
        <v>19</v>
      </c>
      <c r="AE3" s="18">
        <v>20</v>
      </c>
      <c r="AF3" s="18">
        <v>21</v>
      </c>
      <c r="AG3" s="18">
        <v>22</v>
      </c>
      <c r="AH3" s="18">
        <v>23</v>
      </c>
      <c r="AI3" s="18">
        <v>24</v>
      </c>
      <c r="AJ3" s="18">
        <v>25</v>
      </c>
      <c r="AK3" s="18">
        <v>26</v>
      </c>
      <c r="AL3" s="18">
        <v>27</v>
      </c>
      <c r="AM3" s="18">
        <v>28</v>
      </c>
      <c r="AN3" s="18">
        <v>29</v>
      </c>
    </row>
    <row r="4" spans="1:41">
      <c r="A4" s="4" t="s">
        <v>7</v>
      </c>
      <c r="B4" s="6">
        <v>133598438</v>
      </c>
      <c r="C4" s="2" t="s">
        <v>8</v>
      </c>
      <c r="D4" s="8">
        <v>3706775</v>
      </c>
      <c r="E4" s="2" t="s">
        <v>9</v>
      </c>
      <c r="F4" s="146">
        <v>15827</v>
      </c>
      <c r="G4" s="145" t="s">
        <v>10</v>
      </c>
      <c r="I4" s="19" t="s">
        <v>342</v>
      </c>
      <c r="J4" s="18">
        <v>35</v>
      </c>
      <c r="K4" s="35">
        <f>K$3/60*$J4</f>
        <v>0</v>
      </c>
      <c r="L4" s="35">
        <f>L$3/60*$J4</f>
        <v>0.58333333333333337</v>
      </c>
      <c r="M4" s="35">
        <f t="shared" ref="M4:AN7" si="0">M$3/60*$J4</f>
        <v>1.1666666666666667</v>
      </c>
      <c r="N4" s="35">
        <f t="shared" si="0"/>
        <v>1.75</v>
      </c>
      <c r="O4" s="37">
        <f t="shared" si="0"/>
        <v>2.3333333333333335</v>
      </c>
      <c r="P4" s="37">
        <f t="shared" si="0"/>
        <v>2.9166666666666665</v>
      </c>
      <c r="Q4" s="37">
        <f t="shared" si="0"/>
        <v>3.5</v>
      </c>
      <c r="R4" s="37">
        <f t="shared" si="0"/>
        <v>4.083333333333333</v>
      </c>
      <c r="S4" s="37">
        <f t="shared" si="0"/>
        <v>4.666666666666667</v>
      </c>
      <c r="T4" s="36">
        <f t="shared" si="0"/>
        <v>5.25</v>
      </c>
      <c r="U4" s="36">
        <f t="shared" si="0"/>
        <v>5.833333333333333</v>
      </c>
      <c r="V4" s="36">
        <f t="shared" si="0"/>
        <v>6.4166666666666661</v>
      </c>
      <c r="W4" s="36">
        <f t="shared" si="0"/>
        <v>7</v>
      </c>
      <c r="X4" s="36">
        <f t="shared" si="0"/>
        <v>7.5833333333333339</v>
      </c>
      <c r="Y4" s="34">
        <f t="shared" si="0"/>
        <v>8.1666666666666661</v>
      </c>
      <c r="Z4" s="34">
        <f t="shared" si="0"/>
        <v>8.75</v>
      </c>
      <c r="AA4" s="34">
        <f t="shared" si="0"/>
        <v>9.3333333333333339</v>
      </c>
      <c r="AB4" s="34">
        <f t="shared" si="0"/>
        <v>9.9166666666666661</v>
      </c>
      <c r="AC4" s="34">
        <f t="shared" si="0"/>
        <v>10.5</v>
      </c>
      <c r="AD4" s="34">
        <f t="shared" si="0"/>
        <v>11.083333333333332</v>
      </c>
      <c r="AE4" s="34">
        <f t="shared" si="0"/>
        <v>11.666666666666666</v>
      </c>
      <c r="AF4" s="34">
        <f t="shared" si="0"/>
        <v>12.25</v>
      </c>
      <c r="AG4" s="34">
        <f t="shared" si="0"/>
        <v>12.833333333333332</v>
      </c>
      <c r="AH4" s="34">
        <f t="shared" si="0"/>
        <v>13.416666666666668</v>
      </c>
      <c r="AI4" s="34">
        <f t="shared" si="0"/>
        <v>14</v>
      </c>
      <c r="AJ4" s="34">
        <f t="shared" si="0"/>
        <v>14.583333333333334</v>
      </c>
      <c r="AK4" s="34">
        <f t="shared" si="0"/>
        <v>15.166666666666668</v>
      </c>
      <c r="AL4" s="34">
        <f t="shared" si="0"/>
        <v>15.75</v>
      </c>
      <c r="AM4" s="34">
        <f t="shared" si="0"/>
        <v>16.333333333333332</v>
      </c>
      <c r="AN4" s="34">
        <f t="shared" si="0"/>
        <v>16.916666666666668</v>
      </c>
    </row>
    <row r="5" spans="1:41">
      <c r="A5" s="4" t="s">
        <v>11</v>
      </c>
      <c r="B5" s="6">
        <v>18497495</v>
      </c>
      <c r="C5" s="2" t="s">
        <v>12</v>
      </c>
      <c r="D5" s="8">
        <v>407127</v>
      </c>
      <c r="E5" s="2" t="s">
        <v>13</v>
      </c>
      <c r="F5" s="146">
        <v>4646</v>
      </c>
      <c r="G5" s="145" t="s">
        <v>14</v>
      </c>
      <c r="I5" s="20" t="s">
        <v>333</v>
      </c>
      <c r="J5" s="18">
        <v>25</v>
      </c>
      <c r="K5" s="35">
        <f t="shared" ref="K5:AA7" si="1">K$3/60*$J5</f>
        <v>0</v>
      </c>
      <c r="L5" s="35">
        <f t="shared" si="1"/>
        <v>0.41666666666666669</v>
      </c>
      <c r="M5" s="35">
        <f t="shared" si="1"/>
        <v>0.83333333333333337</v>
      </c>
      <c r="N5" s="35">
        <f t="shared" si="1"/>
        <v>1.25</v>
      </c>
      <c r="O5" s="35">
        <f t="shared" si="1"/>
        <v>1.6666666666666667</v>
      </c>
      <c r="P5" s="37">
        <f t="shared" si="1"/>
        <v>2.083333333333333</v>
      </c>
      <c r="Q5" s="37">
        <f t="shared" si="1"/>
        <v>2.5</v>
      </c>
      <c r="R5" s="37">
        <f t="shared" si="1"/>
        <v>2.9166666666666665</v>
      </c>
      <c r="S5" s="37">
        <f t="shared" si="1"/>
        <v>3.3333333333333335</v>
      </c>
      <c r="T5" s="37">
        <f t="shared" si="1"/>
        <v>3.75</v>
      </c>
      <c r="U5" s="37">
        <f t="shared" si="1"/>
        <v>4.1666666666666661</v>
      </c>
      <c r="V5" s="37">
        <f t="shared" si="1"/>
        <v>4.583333333333333</v>
      </c>
      <c r="W5" s="36">
        <f t="shared" si="1"/>
        <v>5</v>
      </c>
      <c r="X5" s="36">
        <f t="shared" si="1"/>
        <v>5.416666666666667</v>
      </c>
      <c r="Y5" s="36">
        <f t="shared" si="1"/>
        <v>5.833333333333333</v>
      </c>
      <c r="Z5" s="36">
        <f t="shared" si="1"/>
        <v>6.25</v>
      </c>
      <c r="AA5" s="36">
        <f t="shared" si="1"/>
        <v>6.666666666666667</v>
      </c>
      <c r="AB5" s="36">
        <f t="shared" si="0"/>
        <v>7.083333333333333</v>
      </c>
      <c r="AC5" s="36">
        <f t="shared" si="0"/>
        <v>7.5</v>
      </c>
      <c r="AD5" s="36">
        <f t="shared" si="0"/>
        <v>7.9166666666666661</v>
      </c>
      <c r="AE5" s="34">
        <f t="shared" si="0"/>
        <v>8.3333333333333321</v>
      </c>
      <c r="AF5" s="34">
        <f t="shared" si="0"/>
        <v>8.75</v>
      </c>
      <c r="AG5" s="34">
        <f t="shared" si="0"/>
        <v>9.1666666666666661</v>
      </c>
      <c r="AH5" s="34">
        <f t="shared" si="0"/>
        <v>9.5833333333333339</v>
      </c>
      <c r="AI5" s="34">
        <f t="shared" si="0"/>
        <v>10</v>
      </c>
      <c r="AJ5" s="34">
        <f t="shared" si="0"/>
        <v>10.416666666666668</v>
      </c>
      <c r="AK5" s="34">
        <f t="shared" si="0"/>
        <v>10.833333333333334</v>
      </c>
      <c r="AL5" s="34">
        <f t="shared" si="0"/>
        <v>11.25</v>
      </c>
      <c r="AM5" s="34">
        <f t="shared" si="0"/>
        <v>11.666666666666666</v>
      </c>
      <c r="AN5" s="34">
        <f t="shared" si="0"/>
        <v>12.083333333333334</v>
      </c>
    </row>
    <row r="6" spans="1:41">
      <c r="A6" s="4" t="s">
        <v>15</v>
      </c>
      <c r="B6" s="6">
        <v>19298581</v>
      </c>
      <c r="C6" s="2" t="s">
        <v>16</v>
      </c>
      <c r="D6" s="8">
        <v>480775</v>
      </c>
      <c r="E6" s="2" t="s">
        <v>17</v>
      </c>
      <c r="F6" s="146">
        <v>5482</v>
      </c>
      <c r="G6" s="145" t="s">
        <v>18</v>
      </c>
      <c r="I6" s="20" t="s">
        <v>334</v>
      </c>
      <c r="J6" s="18">
        <v>10</v>
      </c>
      <c r="K6" s="35">
        <f t="shared" si="1"/>
        <v>0</v>
      </c>
      <c r="L6" s="35">
        <f t="shared" si="1"/>
        <v>0.16666666666666666</v>
      </c>
      <c r="M6" s="35">
        <f t="shared" si="0"/>
        <v>0.33333333333333331</v>
      </c>
      <c r="N6" s="35">
        <f t="shared" si="0"/>
        <v>0.5</v>
      </c>
      <c r="O6" s="35">
        <f t="shared" si="0"/>
        <v>0.66666666666666663</v>
      </c>
      <c r="P6" s="35">
        <f t="shared" si="0"/>
        <v>0.83333333333333326</v>
      </c>
      <c r="Q6" s="35">
        <f t="shared" si="0"/>
        <v>1</v>
      </c>
      <c r="R6" s="35">
        <f t="shared" si="0"/>
        <v>1.1666666666666667</v>
      </c>
      <c r="S6" s="35">
        <f t="shared" si="0"/>
        <v>1.3333333333333333</v>
      </c>
      <c r="T6" s="35">
        <f t="shared" si="0"/>
        <v>1.5</v>
      </c>
      <c r="U6" s="35">
        <f t="shared" si="0"/>
        <v>1.6666666666666665</v>
      </c>
      <c r="V6" s="35">
        <f t="shared" si="0"/>
        <v>1.8333333333333333</v>
      </c>
      <c r="W6" s="37">
        <f t="shared" si="0"/>
        <v>2</v>
      </c>
      <c r="X6" s="37">
        <f t="shared" si="0"/>
        <v>2.166666666666667</v>
      </c>
      <c r="Y6" s="37">
        <f t="shared" si="0"/>
        <v>2.3333333333333335</v>
      </c>
      <c r="Z6" s="37">
        <f t="shared" si="0"/>
        <v>2.5</v>
      </c>
      <c r="AA6" s="37">
        <f t="shared" si="0"/>
        <v>2.6666666666666665</v>
      </c>
      <c r="AB6" s="37">
        <f t="shared" si="0"/>
        <v>2.833333333333333</v>
      </c>
      <c r="AC6" s="37">
        <f t="shared" si="0"/>
        <v>3</v>
      </c>
      <c r="AD6" s="37">
        <f t="shared" si="0"/>
        <v>3.1666666666666665</v>
      </c>
      <c r="AE6" s="37">
        <f t="shared" si="0"/>
        <v>3.333333333333333</v>
      </c>
      <c r="AF6" s="37">
        <f t="shared" si="0"/>
        <v>3.5</v>
      </c>
      <c r="AG6" s="37">
        <f t="shared" si="0"/>
        <v>3.6666666666666665</v>
      </c>
      <c r="AH6" s="37">
        <f t="shared" si="0"/>
        <v>3.8333333333333335</v>
      </c>
      <c r="AI6" s="37">
        <f t="shared" si="0"/>
        <v>4</v>
      </c>
      <c r="AJ6" s="37">
        <f t="shared" si="0"/>
        <v>4.166666666666667</v>
      </c>
      <c r="AK6" s="37">
        <f t="shared" si="0"/>
        <v>4.3333333333333339</v>
      </c>
      <c r="AL6" s="37">
        <f t="shared" si="0"/>
        <v>4.5</v>
      </c>
      <c r="AM6" s="37">
        <f t="shared" si="0"/>
        <v>4.666666666666667</v>
      </c>
      <c r="AN6" s="37">
        <f t="shared" si="0"/>
        <v>4.833333333333333</v>
      </c>
    </row>
    <row r="7" spans="1:41">
      <c r="A7" s="4" t="s">
        <v>19</v>
      </c>
      <c r="B7" s="6">
        <v>20749702</v>
      </c>
      <c r="C7" s="2" t="s">
        <v>20</v>
      </c>
      <c r="D7" s="8">
        <v>568412</v>
      </c>
      <c r="E7" s="2" t="s">
        <v>21</v>
      </c>
      <c r="F7" s="146">
        <v>2607</v>
      </c>
      <c r="G7" s="145" t="s">
        <v>22</v>
      </c>
      <c r="I7" s="23" t="s">
        <v>335</v>
      </c>
      <c r="J7" s="18">
        <v>3</v>
      </c>
      <c r="K7" s="35">
        <f t="shared" si="1"/>
        <v>0</v>
      </c>
      <c r="L7" s="35">
        <f t="shared" si="1"/>
        <v>0.05</v>
      </c>
      <c r="M7" s="35">
        <f t="shared" si="0"/>
        <v>0.1</v>
      </c>
      <c r="N7" s="35">
        <f t="shared" si="0"/>
        <v>0.15000000000000002</v>
      </c>
      <c r="O7" s="35">
        <f t="shared" si="0"/>
        <v>0.2</v>
      </c>
      <c r="P7" s="35">
        <f t="shared" si="0"/>
        <v>0.25</v>
      </c>
      <c r="Q7" s="35">
        <f t="shared" si="0"/>
        <v>0.30000000000000004</v>
      </c>
      <c r="R7" s="35">
        <f t="shared" si="0"/>
        <v>0.35</v>
      </c>
      <c r="S7" s="35">
        <f t="shared" si="0"/>
        <v>0.4</v>
      </c>
      <c r="T7" s="35">
        <f t="shared" si="0"/>
        <v>0.44999999999999996</v>
      </c>
      <c r="U7" s="35">
        <f t="shared" si="0"/>
        <v>0.5</v>
      </c>
      <c r="V7" s="35">
        <f t="shared" si="0"/>
        <v>0.54999999999999993</v>
      </c>
      <c r="W7" s="35">
        <f t="shared" si="0"/>
        <v>0.60000000000000009</v>
      </c>
      <c r="X7" s="35">
        <f t="shared" si="0"/>
        <v>0.65</v>
      </c>
      <c r="Y7" s="35">
        <f t="shared" si="0"/>
        <v>0.7</v>
      </c>
      <c r="Z7" s="35">
        <f t="shared" si="0"/>
        <v>0.75</v>
      </c>
      <c r="AA7" s="35">
        <f t="shared" si="0"/>
        <v>0.8</v>
      </c>
      <c r="AB7" s="35">
        <f t="shared" si="0"/>
        <v>0.85</v>
      </c>
      <c r="AC7" s="35">
        <f t="shared" si="0"/>
        <v>0.89999999999999991</v>
      </c>
      <c r="AD7" s="35">
        <f t="shared" si="0"/>
        <v>0.95</v>
      </c>
      <c r="AE7" s="35">
        <f t="shared" si="0"/>
        <v>1</v>
      </c>
      <c r="AF7" s="35">
        <f t="shared" si="0"/>
        <v>1.0499999999999998</v>
      </c>
      <c r="AG7" s="35">
        <f t="shared" si="0"/>
        <v>1.0999999999999999</v>
      </c>
      <c r="AH7" s="35">
        <f t="shared" si="0"/>
        <v>1.1500000000000001</v>
      </c>
      <c r="AI7" s="35">
        <f t="shared" si="0"/>
        <v>1.2000000000000002</v>
      </c>
      <c r="AJ7" s="35">
        <f t="shared" si="0"/>
        <v>1.25</v>
      </c>
      <c r="AK7" s="35">
        <f t="shared" si="0"/>
        <v>1.3</v>
      </c>
      <c r="AL7" s="35">
        <f t="shared" si="0"/>
        <v>1.35</v>
      </c>
      <c r="AM7" s="35">
        <f t="shared" si="0"/>
        <v>1.4</v>
      </c>
      <c r="AN7" s="35">
        <f t="shared" si="0"/>
        <v>1.45</v>
      </c>
    </row>
    <row r="8" spans="1:41">
      <c r="A8" s="4" t="s">
        <v>23</v>
      </c>
      <c r="B8" s="6">
        <v>19654039</v>
      </c>
      <c r="C8" s="2" t="s">
        <v>24</v>
      </c>
      <c r="D8" s="8">
        <v>552408</v>
      </c>
      <c r="E8" s="2" t="s">
        <v>25</v>
      </c>
      <c r="F8" s="146">
        <v>1273</v>
      </c>
      <c r="G8" s="145" t="s">
        <v>26</v>
      </c>
    </row>
    <row r="9" spans="1:41">
      <c r="A9" s="4" t="s">
        <v>27</v>
      </c>
      <c r="B9" s="6">
        <v>8084742</v>
      </c>
      <c r="C9" s="2" t="s">
        <v>28</v>
      </c>
      <c r="D9" s="8">
        <v>232649</v>
      </c>
      <c r="E9" s="2" t="s">
        <v>29</v>
      </c>
      <c r="F9" s="147">
        <v>279</v>
      </c>
      <c r="G9" s="145" t="s">
        <v>30</v>
      </c>
    </row>
    <row r="10" spans="1:41">
      <c r="A10" s="4" t="s">
        <v>31</v>
      </c>
      <c r="B10" s="6">
        <v>18043109</v>
      </c>
      <c r="C10" s="2" t="s">
        <v>32</v>
      </c>
      <c r="D10" s="8">
        <v>523877</v>
      </c>
      <c r="E10" s="2" t="s">
        <v>33</v>
      </c>
      <c r="F10" s="147">
        <v>417</v>
      </c>
      <c r="G10" s="145" t="s">
        <v>34</v>
      </c>
      <c r="I10" s="20" t="s">
        <v>352</v>
      </c>
      <c r="J10" s="18"/>
      <c r="K10" s="18">
        <v>0</v>
      </c>
      <c r="L10" s="18">
        <v>1</v>
      </c>
      <c r="M10" s="18">
        <v>2</v>
      </c>
      <c r="N10" s="18">
        <v>3</v>
      </c>
      <c r="O10" s="18">
        <v>4</v>
      </c>
      <c r="P10" s="18">
        <v>5</v>
      </c>
      <c r="Q10" s="18">
        <v>6</v>
      </c>
      <c r="R10" s="18">
        <v>7</v>
      </c>
      <c r="S10" s="18">
        <v>8</v>
      </c>
      <c r="T10" s="18">
        <v>9</v>
      </c>
      <c r="U10" s="18">
        <v>10</v>
      </c>
      <c r="V10" s="18">
        <v>11</v>
      </c>
      <c r="W10" s="18">
        <v>12</v>
      </c>
      <c r="X10" s="18">
        <v>13</v>
      </c>
      <c r="Y10" s="18">
        <v>14</v>
      </c>
      <c r="Z10" s="18">
        <v>15</v>
      </c>
      <c r="AA10" s="18">
        <v>16</v>
      </c>
      <c r="AB10" s="18">
        <v>17</v>
      </c>
      <c r="AC10" s="18">
        <v>18</v>
      </c>
      <c r="AD10" s="18">
        <v>19</v>
      </c>
      <c r="AE10" s="18">
        <v>20</v>
      </c>
      <c r="AF10" s="18">
        <v>21</v>
      </c>
      <c r="AG10" s="18">
        <v>22</v>
      </c>
      <c r="AH10" s="18">
        <v>23</v>
      </c>
      <c r="AI10" s="18">
        <v>24</v>
      </c>
      <c r="AJ10" s="18">
        <v>25</v>
      </c>
      <c r="AK10" s="18">
        <v>26</v>
      </c>
      <c r="AL10" s="18">
        <v>27</v>
      </c>
      <c r="AM10" s="18">
        <v>28</v>
      </c>
      <c r="AN10" s="18">
        <v>29</v>
      </c>
    </row>
    <row r="11" spans="1:41">
      <c r="A11" s="4" t="s">
        <v>35</v>
      </c>
      <c r="B11" s="6">
        <v>8463489</v>
      </c>
      <c r="C11" s="2" t="s">
        <v>36</v>
      </c>
      <c r="D11" s="8">
        <v>263220</v>
      </c>
      <c r="E11" s="2" t="s">
        <v>37</v>
      </c>
      <c r="F11" s="147">
        <v>336</v>
      </c>
      <c r="G11" s="145" t="s">
        <v>38</v>
      </c>
      <c r="I11" s="19" t="s">
        <v>342</v>
      </c>
      <c r="J11" s="18">
        <v>35</v>
      </c>
      <c r="K11" s="35">
        <f>$R26</f>
        <v>390.5</v>
      </c>
      <c r="L11" s="35">
        <f t="shared" ref="L11:T11" si="2">$R26</f>
        <v>390.5</v>
      </c>
      <c r="M11" s="35">
        <f t="shared" si="2"/>
        <v>390.5</v>
      </c>
      <c r="N11" s="35">
        <f t="shared" si="2"/>
        <v>390.5</v>
      </c>
      <c r="O11" s="37">
        <f t="shared" si="2"/>
        <v>390.5</v>
      </c>
      <c r="P11" s="37">
        <f t="shared" si="2"/>
        <v>390.5</v>
      </c>
      <c r="Q11" s="37">
        <f t="shared" si="2"/>
        <v>390.5</v>
      </c>
      <c r="R11" s="37">
        <f t="shared" si="2"/>
        <v>390.5</v>
      </c>
      <c r="S11" s="37">
        <f t="shared" si="2"/>
        <v>390.5</v>
      </c>
      <c r="T11" s="36">
        <f t="shared" si="2"/>
        <v>390.5</v>
      </c>
      <c r="U11" s="36">
        <f>$R27</f>
        <v>922.4</v>
      </c>
      <c r="V11" s="36">
        <f t="shared" ref="V11:Y11" si="3">$R27</f>
        <v>922.4</v>
      </c>
      <c r="W11" s="36">
        <f t="shared" si="3"/>
        <v>922.4</v>
      </c>
      <c r="X11" s="36">
        <f t="shared" si="3"/>
        <v>922.4</v>
      </c>
      <c r="Y11" s="34">
        <f t="shared" si="3"/>
        <v>922.4</v>
      </c>
      <c r="Z11" s="34">
        <f>$R28</f>
        <v>279.2</v>
      </c>
      <c r="AA11" s="34">
        <f t="shared" ref="AA11:AD11" si="4">$R28</f>
        <v>279.2</v>
      </c>
      <c r="AB11" s="34">
        <f t="shared" si="4"/>
        <v>279.2</v>
      </c>
      <c r="AC11" s="34">
        <f t="shared" si="4"/>
        <v>279.2</v>
      </c>
      <c r="AD11" s="34">
        <f t="shared" si="4"/>
        <v>279.2</v>
      </c>
      <c r="AE11" s="34">
        <f>$R29</f>
        <v>191.4</v>
      </c>
      <c r="AF11" s="34">
        <f t="shared" ref="AF11:AI11" si="5">$R29</f>
        <v>191.4</v>
      </c>
      <c r="AG11" s="34">
        <f t="shared" si="5"/>
        <v>191.4</v>
      </c>
      <c r="AH11" s="34">
        <f t="shared" si="5"/>
        <v>191.4</v>
      </c>
      <c r="AI11" s="34">
        <f t="shared" si="5"/>
        <v>191.4</v>
      </c>
      <c r="AJ11" s="34">
        <f>$Q30</f>
        <v>147</v>
      </c>
      <c r="AK11" s="34">
        <f t="shared" ref="AK11:AN11" si="6">$Q30</f>
        <v>147</v>
      </c>
      <c r="AL11" s="34">
        <f t="shared" si="6"/>
        <v>147</v>
      </c>
      <c r="AM11" s="34">
        <f t="shared" si="6"/>
        <v>147</v>
      </c>
      <c r="AN11" s="34">
        <f t="shared" si="6"/>
        <v>147</v>
      </c>
    </row>
    <row r="12" spans="1:41">
      <c r="A12" s="4" t="s">
        <v>39</v>
      </c>
      <c r="B12" s="12">
        <v>10031588</v>
      </c>
      <c r="C12" s="11" t="s">
        <v>40</v>
      </c>
      <c r="D12" s="10">
        <v>325307</v>
      </c>
      <c r="E12" s="11" t="s">
        <v>41</v>
      </c>
      <c r="F12" s="147">
        <v>457</v>
      </c>
      <c r="G12" s="145" t="s">
        <v>42</v>
      </c>
      <c r="I12" s="20" t="s">
        <v>333</v>
      </c>
      <c r="J12" s="18">
        <v>25</v>
      </c>
      <c r="K12" s="35">
        <f t="shared" ref="K12:T12" si="7">$T26</f>
        <v>15.1</v>
      </c>
      <c r="L12" s="35">
        <f t="shared" si="7"/>
        <v>15.1</v>
      </c>
      <c r="M12" s="35">
        <f t="shared" si="7"/>
        <v>15.1</v>
      </c>
      <c r="N12" s="35">
        <f t="shared" si="7"/>
        <v>15.1</v>
      </c>
      <c r="O12" s="35">
        <f t="shared" si="7"/>
        <v>15.1</v>
      </c>
      <c r="P12" s="37">
        <f t="shared" si="7"/>
        <v>15.1</v>
      </c>
      <c r="Q12" s="37">
        <f t="shared" si="7"/>
        <v>15.1</v>
      </c>
      <c r="R12" s="37">
        <f t="shared" si="7"/>
        <v>15.1</v>
      </c>
      <c r="S12" s="37">
        <f t="shared" si="7"/>
        <v>15.1</v>
      </c>
      <c r="T12" s="37">
        <f t="shared" si="7"/>
        <v>15.1</v>
      </c>
      <c r="U12" s="37">
        <f>$T27</f>
        <v>76.8</v>
      </c>
      <c r="V12" s="37">
        <f t="shared" ref="V12:Y12" si="8">$T27</f>
        <v>76.8</v>
      </c>
      <c r="W12" s="36">
        <f t="shared" si="8"/>
        <v>76.8</v>
      </c>
      <c r="X12" s="36">
        <f t="shared" si="8"/>
        <v>76.8</v>
      </c>
      <c r="Y12" s="36">
        <f t="shared" si="8"/>
        <v>76.8</v>
      </c>
      <c r="Z12" s="36">
        <f>$T28</f>
        <v>94.8</v>
      </c>
      <c r="AA12" s="36">
        <f>$T28</f>
        <v>94.8</v>
      </c>
      <c r="AB12" s="36">
        <f>$T28</f>
        <v>94.8</v>
      </c>
      <c r="AC12" s="36">
        <f>$T28</f>
        <v>94.8</v>
      </c>
      <c r="AD12" s="36">
        <f>$T28</f>
        <v>94.8</v>
      </c>
      <c r="AE12" s="34">
        <f>$T29</f>
        <v>23</v>
      </c>
      <c r="AF12" s="34">
        <f t="shared" ref="AF12:AI12" si="9">$T29</f>
        <v>23</v>
      </c>
      <c r="AG12" s="34">
        <f t="shared" si="9"/>
        <v>23</v>
      </c>
      <c r="AH12" s="34">
        <f t="shared" si="9"/>
        <v>23</v>
      </c>
      <c r="AI12" s="34">
        <f t="shared" si="9"/>
        <v>23</v>
      </c>
      <c r="AJ12" s="34">
        <f>$T30</f>
        <v>11.2</v>
      </c>
      <c r="AK12" s="34">
        <f t="shared" ref="AK12:AN12" si="10">$T30</f>
        <v>11.2</v>
      </c>
      <c r="AL12" s="34">
        <f t="shared" si="10"/>
        <v>11.2</v>
      </c>
      <c r="AM12" s="34">
        <f t="shared" si="10"/>
        <v>11.2</v>
      </c>
      <c r="AN12" s="34">
        <f t="shared" si="10"/>
        <v>11.2</v>
      </c>
    </row>
    <row r="13" spans="1:41">
      <c r="A13" s="4" t="s">
        <v>43</v>
      </c>
      <c r="B13" s="12">
        <v>10775693</v>
      </c>
      <c r="C13" s="11" t="s">
        <v>44</v>
      </c>
      <c r="D13" s="10">
        <v>353000</v>
      </c>
      <c r="E13" s="11" t="s">
        <v>45</v>
      </c>
      <c r="F13" s="147">
        <v>330</v>
      </c>
      <c r="G13" s="145" t="s">
        <v>46</v>
      </c>
      <c r="I13" s="20" t="s">
        <v>334</v>
      </c>
      <c r="J13" s="18">
        <v>10</v>
      </c>
      <c r="K13" s="35">
        <f t="shared" ref="K13:T13" si="11">$V26</f>
        <v>8.6</v>
      </c>
      <c r="L13" s="35">
        <f t="shared" si="11"/>
        <v>8.6</v>
      </c>
      <c r="M13" s="35">
        <f t="shared" si="11"/>
        <v>8.6</v>
      </c>
      <c r="N13" s="35">
        <f t="shared" si="11"/>
        <v>8.6</v>
      </c>
      <c r="O13" s="35">
        <f t="shared" si="11"/>
        <v>8.6</v>
      </c>
      <c r="P13" s="35">
        <f t="shared" si="11"/>
        <v>8.6</v>
      </c>
      <c r="Q13" s="35">
        <f t="shared" si="11"/>
        <v>8.6</v>
      </c>
      <c r="R13" s="35">
        <f t="shared" si="11"/>
        <v>8.6</v>
      </c>
      <c r="S13" s="35">
        <f t="shared" si="11"/>
        <v>8.6</v>
      </c>
      <c r="T13" s="35">
        <f t="shared" si="11"/>
        <v>8.6</v>
      </c>
      <c r="U13" s="35">
        <f>$V27</f>
        <v>12.6</v>
      </c>
      <c r="V13" s="35">
        <f t="shared" ref="V13:Y13" si="12">$V27</f>
        <v>12.6</v>
      </c>
      <c r="W13" s="37">
        <f t="shared" si="12"/>
        <v>12.6</v>
      </c>
      <c r="X13" s="37">
        <f t="shared" si="12"/>
        <v>12.6</v>
      </c>
      <c r="Y13" s="37">
        <f t="shared" si="12"/>
        <v>12.6</v>
      </c>
      <c r="Z13" s="37">
        <f>$V28</f>
        <v>50.2</v>
      </c>
      <c r="AA13" s="37">
        <f t="shared" ref="AA13:AD13" si="13">$V28</f>
        <v>50.2</v>
      </c>
      <c r="AB13" s="37">
        <f t="shared" si="13"/>
        <v>50.2</v>
      </c>
      <c r="AC13" s="37">
        <f t="shared" si="13"/>
        <v>50.2</v>
      </c>
      <c r="AD13" s="37">
        <f t="shared" si="13"/>
        <v>50.2</v>
      </c>
      <c r="AE13" s="37">
        <f>$V29</f>
        <v>17</v>
      </c>
      <c r="AF13" s="37">
        <f>$V29</f>
        <v>17</v>
      </c>
      <c r="AG13" s="37">
        <f>$V29</f>
        <v>17</v>
      </c>
      <c r="AH13" s="37">
        <f>$V29</f>
        <v>17</v>
      </c>
      <c r="AI13" s="37">
        <f>$V29</f>
        <v>17</v>
      </c>
      <c r="AJ13" s="37">
        <f>$V30</f>
        <v>6.2</v>
      </c>
      <c r="AK13" s="37">
        <f t="shared" ref="AK13:AN13" si="14">$V30</f>
        <v>6.2</v>
      </c>
      <c r="AL13" s="37">
        <f t="shared" si="14"/>
        <v>6.2</v>
      </c>
      <c r="AM13" s="37">
        <f t="shared" si="14"/>
        <v>6.2</v>
      </c>
      <c r="AN13" s="37">
        <f t="shared" si="14"/>
        <v>6.2</v>
      </c>
    </row>
    <row r="14" spans="1:41">
      <c r="A14" s="4" t="s">
        <v>47</v>
      </c>
      <c r="B14" s="6">
        <v>120315446</v>
      </c>
      <c r="C14" s="2" t="s">
        <v>48</v>
      </c>
      <c r="D14" s="8">
        <v>3397163</v>
      </c>
      <c r="E14" s="2" t="s">
        <v>49</v>
      </c>
      <c r="F14" s="146">
        <v>12284</v>
      </c>
      <c r="G14" s="145" t="s">
        <v>50</v>
      </c>
      <c r="I14" s="23" t="s">
        <v>335</v>
      </c>
      <c r="J14" s="18">
        <v>3</v>
      </c>
      <c r="K14" s="35">
        <f t="shared" ref="K14:T14" si="15">$X26</f>
        <v>50.4</v>
      </c>
      <c r="L14" s="35">
        <f t="shared" si="15"/>
        <v>50.4</v>
      </c>
      <c r="M14" s="35">
        <f t="shared" si="15"/>
        <v>50.4</v>
      </c>
      <c r="N14" s="35">
        <f t="shared" si="15"/>
        <v>50.4</v>
      </c>
      <c r="O14" s="35">
        <f t="shared" si="15"/>
        <v>50.4</v>
      </c>
      <c r="P14" s="35">
        <f t="shared" si="15"/>
        <v>50.4</v>
      </c>
      <c r="Q14" s="35">
        <f t="shared" si="15"/>
        <v>50.4</v>
      </c>
      <c r="R14" s="35">
        <f t="shared" si="15"/>
        <v>50.4</v>
      </c>
      <c r="S14" s="35">
        <f t="shared" si="15"/>
        <v>50.4</v>
      </c>
      <c r="T14" s="35">
        <f t="shared" si="15"/>
        <v>50.4</v>
      </c>
      <c r="U14" s="35">
        <f>$X27</f>
        <v>84.6</v>
      </c>
      <c r="V14" s="35">
        <f t="shared" ref="V14:Y14" si="16">$X27</f>
        <v>84.6</v>
      </c>
      <c r="W14" s="35">
        <f t="shared" si="16"/>
        <v>84.6</v>
      </c>
      <c r="X14" s="35">
        <f t="shared" si="16"/>
        <v>84.6</v>
      </c>
      <c r="Y14" s="35">
        <f t="shared" si="16"/>
        <v>84.6</v>
      </c>
      <c r="Z14" s="35">
        <f>$X28</f>
        <v>97.2</v>
      </c>
      <c r="AA14" s="35">
        <f t="shared" ref="AA14:AD14" si="17">$X28</f>
        <v>97.2</v>
      </c>
      <c r="AB14" s="35">
        <f t="shared" si="17"/>
        <v>97.2</v>
      </c>
      <c r="AC14" s="35">
        <f t="shared" si="17"/>
        <v>97.2</v>
      </c>
      <c r="AD14" s="35">
        <f t="shared" si="17"/>
        <v>97.2</v>
      </c>
      <c r="AE14" s="35">
        <f>$X29</f>
        <v>23.2</v>
      </c>
      <c r="AF14" s="35">
        <f t="shared" ref="AF14:AI14" si="18">$X29</f>
        <v>23.2</v>
      </c>
      <c r="AG14" s="35">
        <f t="shared" si="18"/>
        <v>23.2</v>
      </c>
      <c r="AH14" s="35">
        <f t="shared" si="18"/>
        <v>23.2</v>
      </c>
      <c r="AI14" s="35">
        <f t="shared" si="18"/>
        <v>23.2</v>
      </c>
      <c r="AJ14" s="35">
        <f>$X30</f>
        <v>9</v>
      </c>
      <c r="AK14" s="35">
        <f t="shared" ref="AK14:AN14" si="19">$X30</f>
        <v>9</v>
      </c>
      <c r="AL14" s="35">
        <f t="shared" si="19"/>
        <v>9</v>
      </c>
      <c r="AM14" s="35">
        <f t="shared" si="19"/>
        <v>9</v>
      </c>
      <c r="AN14" s="35">
        <f t="shared" si="19"/>
        <v>9</v>
      </c>
    </row>
    <row r="15" spans="1:41">
      <c r="A15" s="4" t="s">
        <v>11</v>
      </c>
      <c r="B15" s="6">
        <v>15984860</v>
      </c>
      <c r="C15" s="2" t="s">
        <v>51</v>
      </c>
      <c r="D15" s="8">
        <v>347535</v>
      </c>
      <c r="E15" s="2" t="s">
        <v>52</v>
      </c>
      <c r="F15" s="146">
        <v>3905</v>
      </c>
      <c r="G15" s="145" t="s">
        <v>53</v>
      </c>
      <c r="I15" s="14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  <row r="16" spans="1:41">
      <c r="A16" s="4" t="s">
        <v>15</v>
      </c>
      <c r="B16" s="6">
        <v>17918204</v>
      </c>
      <c r="C16" s="2" t="s">
        <v>54</v>
      </c>
      <c r="D16" s="8">
        <v>447192</v>
      </c>
      <c r="E16" s="2" t="s">
        <v>55</v>
      </c>
      <c r="F16" s="146">
        <v>4612</v>
      </c>
      <c r="G16" s="145" t="s">
        <v>56</v>
      </c>
      <c r="I16" s="14"/>
      <c r="J16" s="38"/>
      <c r="K16" s="39"/>
      <c r="L16" s="135">
        <f>SUM(L18:O18)</f>
        <v>656040</v>
      </c>
      <c r="M16" s="135"/>
      <c r="N16" s="135"/>
      <c r="O16" s="135"/>
      <c r="P16" s="135">
        <f>SUM(P18:T18)</f>
        <v>3280200</v>
      </c>
      <c r="Q16" s="135"/>
      <c r="R16" s="135"/>
      <c r="S16" s="135"/>
      <c r="T16" s="135"/>
      <c r="U16" s="135">
        <f>SUM(U18:Y18)</f>
        <v>12864572</v>
      </c>
      <c r="V16" s="135"/>
      <c r="W16" s="135"/>
      <c r="X16" s="135"/>
      <c r="Y16" s="135"/>
      <c r="Z16" s="135">
        <f>SUM(Z18:AO18)</f>
        <v>21712488</v>
      </c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</row>
    <row r="17" spans="1:41">
      <c r="A17" s="4" t="s">
        <v>19</v>
      </c>
      <c r="B17" s="6">
        <v>19499296</v>
      </c>
      <c r="C17" s="2" t="s">
        <v>57</v>
      </c>
      <c r="D17" s="8">
        <v>540788</v>
      </c>
      <c r="E17" s="2" t="s">
        <v>58</v>
      </c>
      <c r="F17" s="146">
        <v>1396</v>
      </c>
      <c r="G17" s="145" t="s">
        <v>59</v>
      </c>
      <c r="I17" s="20" t="s">
        <v>354</v>
      </c>
      <c r="J17" s="18"/>
      <c r="K17" s="56" t="s">
        <v>336</v>
      </c>
      <c r="L17" s="18">
        <v>0</v>
      </c>
      <c r="M17" s="18">
        <v>1</v>
      </c>
      <c r="N17" s="18">
        <v>2</v>
      </c>
      <c r="O17" s="18">
        <v>3</v>
      </c>
      <c r="P17" s="18">
        <v>4</v>
      </c>
      <c r="Q17" s="18">
        <v>5</v>
      </c>
      <c r="R17" s="18">
        <v>6</v>
      </c>
      <c r="S17" s="18">
        <v>7</v>
      </c>
      <c r="T17" s="18">
        <v>8</v>
      </c>
      <c r="U17" s="18">
        <v>9</v>
      </c>
      <c r="V17" s="18">
        <v>10</v>
      </c>
      <c r="W17" s="18">
        <v>11</v>
      </c>
      <c r="X17" s="18">
        <v>12</v>
      </c>
      <c r="Y17" s="18">
        <v>13</v>
      </c>
      <c r="Z17" s="18">
        <v>14</v>
      </c>
      <c r="AA17" s="18">
        <v>15</v>
      </c>
      <c r="AB17" s="18">
        <v>16</v>
      </c>
      <c r="AC17" s="18">
        <v>17</v>
      </c>
      <c r="AD17" s="18">
        <v>18</v>
      </c>
      <c r="AE17" s="18">
        <v>19</v>
      </c>
      <c r="AF17" s="18">
        <v>20</v>
      </c>
      <c r="AG17" s="18">
        <v>21</v>
      </c>
      <c r="AH17" s="18">
        <v>22</v>
      </c>
      <c r="AI17" s="18">
        <v>23</v>
      </c>
      <c r="AJ17" s="18">
        <v>24</v>
      </c>
      <c r="AK17" s="18">
        <v>25</v>
      </c>
      <c r="AL17" s="18">
        <v>26</v>
      </c>
      <c r="AM17" s="18">
        <v>27</v>
      </c>
      <c r="AN17" s="18">
        <v>28</v>
      </c>
      <c r="AO17" s="18">
        <v>29</v>
      </c>
    </row>
    <row r="18" spans="1:41">
      <c r="A18" s="4" t="s">
        <v>23</v>
      </c>
      <c r="B18" s="6">
        <v>18484277</v>
      </c>
      <c r="C18" s="2" t="s">
        <v>60</v>
      </c>
      <c r="D18" s="8">
        <v>527152</v>
      </c>
      <c r="E18" s="2" t="s">
        <v>61</v>
      </c>
      <c r="F18" s="147">
        <v>957</v>
      </c>
      <c r="G18" s="145" t="s">
        <v>62</v>
      </c>
      <c r="I18" s="19" t="s">
        <v>342</v>
      </c>
      <c r="J18" s="18">
        <v>35</v>
      </c>
      <c r="K18" s="57">
        <f>SUM(L18:AO18)</f>
        <v>38513300</v>
      </c>
      <c r="L18" s="55">
        <f t="shared" ref="L18:AO18" si="20">K11*K4*480</f>
        <v>0</v>
      </c>
      <c r="M18" s="55">
        <f t="shared" si="20"/>
        <v>109340.00000000001</v>
      </c>
      <c r="N18" s="55">
        <f t="shared" si="20"/>
        <v>218680.00000000003</v>
      </c>
      <c r="O18" s="55">
        <f t="shared" si="20"/>
        <v>328020</v>
      </c>
      <c r="P18" s="55">
        <f t="shared" si="20"/>
        <v>437360.00000000006</v>
      </c>
      <c r="Q18" s="55">
        <f t="shared" si="20"/>
        <v>546700</v>
      </c>
      <c r="R18" s="55">
        <f t="shared" si="20"/>
        <v>656040</v>
      </c>
      <c r="S18" s="55">
        <f t="shared" si="20"/>
        <v>765379.99999999988</v>
      </c>
      <c r="T18" s="55">
        <f t="shared" si="20"/>
        <v>874720.00000000012</v>
      </c>
      <c r="U18" s="55">
        <f t="shared" si="20"/>
        <v>984060</v>
      </c>
      <c r="V18" s="55">
        <f t="shared" si="20"/>
        <v>2582719.9999999995</v>
      </c>
      <c r="W18" s="55">
        <f t="shared" si="20"/>
        <v>2840991.9999999995</v>
      </c>
      <c r="X18" s="55">
        <f t="shared" si="20"/>
        <v>3099264</v>
      </c>
      <c r="Y18" s="55">
        <f t="shared" si="20"/>
        <v>3357536</v>
      </c>
      <c r="Z18" s="55">
        <f t="shared" si="20"/>
        <v>3615807.9999999995</v>
      </c>
      <c r="AA18" s="55">
        <f t="shared" si="20"/>
        <v>1172640</v>
      </c>
      <c r="AB18" s="55">
        <f t="shared" si="20"/>
        <v>1250816</v>
      </c>
      <c r="AC18" s="55">
        <f t="shared" si="20"/>
        <v>1328992</v>
      </c>
      <c r="AD18" s="55">
        <f t="shared" si="20"/>
        <v>1407168</v>
      </c>
      <c r="AE18" s="55">
        <f t="shared" si="20"/>
        <v>1485343.9999999998</v>
      </c>
      <c r="AF18" s="55">
        <f t="shared" si="20"/>
        <v>1071840</v>
      </c>
      <c r="AG18" s="55">
        <f t="shared" si="20"/>
        <v>1125432</v>
      </c>
      <c r="AH18" s="55">
        <f t="shared" si="20"/>
        <v>1179023.9999999998</v>
      </c>
      <c r="AI18" s="55">
        <f t="shared" si="20"/>
        <v>1232616.0000000002</v>
      </c>
      <c r="AJ18" s="55">
        <f t="shared" si="20"/>
        <v>1286208</v>
      </c>
      <c r="AK18" s="55">
        <f t="shared" si="20"/>
        <v>1029000</v>
      </c>
      <c r="AL18" s="55">
        <f t="shared" si="20"/>
        <v>1070160</v>
      </c>
      <c r="AM18" s="55">
        <f t="shared" si="20"/>
        <v>1111320</v>
      </c>
      <c r="AN18" s="55">
        <f t="shared" si="20"/>
        <v>1152480</v>
      </c>
      <c r="AO18" s="55">
        <f t="shared" si="20"/>
        <v>1193640</v>
      </c>
    </row>
    <row r="19" spans="1:41">
      <c r="A19" s="4" t="s">
        <v>27</v>
      </c>
      <c r="B19" s="6">
        <v>7661021</v>
      </c>
      <c r="C19" s="2" t="s">
        <v>63</v>
      </c>
      <c r="D19" s="8">
        <v>224468</v>
      </c>
      <c r="E19" s="2" t="s">
        <v>64</v>
      </c>
      <c r="F19" s="147">
        <v>147</v>
      </c>
      <c r="G19" s="145" t="s">
        <v>65</v>
      </c>
      <c r="I19" s="20" t="s">
        <v>333</v>
      </c>
      <c r="J19" s="18">
        <v>25</v>
      </c>
      <c r="K19" s="57">
        <f t="shared" ref="K19:K21" si="21">SUM(L19:AO19)</f>
        <v>3477500</v>
      </c>
      <c r="L19" s="55">
        <f t="shared" ref="L19:AO19" si="22">K12*K5*480</f>
        <v>0</v>
      </c>
      <c r="M19" s="55">
        <f t="shared" si="22"/>
        <v>3020</v>
      </c>
      <c r="N19" s="55">
        <f t="shared" si="22"/>
        <v>6040</v>
      </c>
      <c r="O19" s="55">
        <f t="shared" si="22"/>
        <v>9060</v>
      </c>
      <c r="P19" s="55">
        <f t="shared" si="22"/>
        <v>12080</v>
      </c>
      <c r="Q19" s="55">
        <f t="shared" si="22"/>
        <v>15099.999999999998</v>
      </c>
      <c r="R19" s="55">
        <f t="shared" si="22"/>
        <v>18120</v>
      </c>
      <c r="S19" s="55">
        <f t="shared" si="22"/>
        <v>21140</v>
      </c>
      <c r="T19" s="55">
        <f t="shared" si="22"/>
        <v>24160</v>
      </c>
      <c r="U19" s="55">
        <f t="shared" si="22"/>
        <v>27180</v>
      </c>
      <c r="V19" s="55">
        <f t="shared" si="22"/>
        <v>153599.99999999997</v>
      </c>
      <c r="W19" s="55">
        <f t="shared" si="22"/>
        <v>168959.99999999997</v>
      </c>
      <c r="X19" s="55">
        <f t="shared" si="22"/>
        <v>184320</v>
      </c>
      <c r="Y19" s="55">
        <f t="shared" si="22"/>
        <v>199680</v>
      </c>
      <c r="Z19" s="55">
        <f t="shared" si="22"/>
        <v>215039.99999999997</v>
      </c>
      <c r="AA19" s="55">
        <f t="shared" si="22"/>
        <v>284400</v>
      </c>
      <c r="AB19" s="55">
        <f t="shared" si="22"/>
        <v>303360</v>
      </c>
      <c r="AC19" s="55">
        <f t="shared" si="22"/>
        <v>322320</v>
      </c>
      <c r="AD19" s="55">
        <f t="shared" si="22"/>
        <v>341280</v>
      </c>
      <c r="AE19" s="55">
        <f t="shared" si="22"/>
        <v>360239.99999999994</v>
      </c>
      <c r="AF19" s="55">
        <f t="shared" si="22"/>
        <v>91999.999999999985</v>
      </c>
      <c r="AG19" s="55">
        <f t="shared" si="22"/>
        <v>96600</v>
      </c>
      <c r="AH19" s="55">
        <f t="shared" si="22"/>
        <v>101199.99999999999</v>
      </c>
      <c r="AI19" s="55">
        <f t="shared" si="22"/>
        <v>105800.00000000001</v>
      </c>
      <c r="AJ19" s="55">
        <f t="shared" si="22"/>
        <v>110400</v>
      </c>
      <c r="AK19" s="55">
        <f t="shared" si="22"/>
        <v>56000</v>
      </c>
      <c r="AL19" s="55">
        <f t="shared" si="22"/>
        <v>58240</v>
      </c>
      <c r="AM19" s="55">
        <f t="shared" si="22"/>
        <v>60479.999999999993</v>
      </c>
      <c r="AN19" s="55">
        <f t="shared" si="22"/>
        <v>62719.999999999993</v>
      </c>
      <c r="AO19" s="55">
        <f t="shared" si="22"/>
        <v>64960.000000000007</v>
      </c>
    </row>
    <row r="20" spans="1:41">
      <c r="A20" s="4" t="s">
        <v>31</v>
      </c>
      <c r="B20" s="6">
        <v>16411476</v>
      </c>
      <c r="C20" s="2" t="s">
        <v>66</v>
      </c>
      <c r="D20" s="8">
        <v>488148</v>
      </c>
      <c r="E20" s="2" t="s">
        <v>67</v>
      </c>
      <c r="F20" s="147">
        <v>259</v>
      </c>
      <c r="G20" s="145" t="s">
        <v>68</v>
      </c>
      <c r="I20" s="20" t="s">
        <v>334</v>
      </c>
      <c r="J20" s="18">
        <v>10</v>
      </c>
      <c r="K20" s="57">
        <f t="shared" si="21"/>
        <v>649360</v>
      </c>
      <c r="L20" s="55">
        <f t="shared" ref="L20:AO20" si="23">K13*K6*480</f>
        <v>0</v>
      </c>
      <c r="M20" s="55">
        <f t="shared" si="23"/>
        <v>687.99999999999989</v>
      </c>
      <c r="N20" s="55">
        <f t="shared" si="23"/>
        <v>1375.9999999999998</v>
      </c>
      <c r="O20" s="55">
        <f t="shared" si="23"/>
        <v>2064</v>
      </c>
      <c r="P20" s="55">
        <f t="shared" si="23"/>
        <v>2751.9999999999995</v>
      </c>
      <c r="Q20" s="55">
        <f t="shared" si="23"/>
        <v>3439.9999999999995</v>
      </c>
      <c r="R20" s="55">
        <f t="shared" si="23"/>
        <v>4128</v>
      </c>
      <c r="S20" s="55">
        <f t="shared" si="23"/>
        <v>4816</v>
      </c>
      <c r="T20" s="55">
        <f t="shared" si="23"/>
        <v>5503.9999999999991</v>
      </c>
      <c r="U20" s="55">
        <f t="shared" si="23"/>
        <v>6191.9999999999991</v>
      </c>
      <c r="V20" s="55">
        <f t="shared" si="23"/>
        <v>10079.999999999998</v>
      </c>
      <c r="W20" s="55">
        <f t="shared" si="23"/>
        <v>11087.999999999998</v>
      </c>
      <c r="X20" s="55">
        <f t="shared" si="23"/>
        <v>12096</v>
      </c>
      <c r="Y20" s="55">
        <f t="shared" si="23"/>
        <v>13104.000000000002</v>
      </c>
      <c r="Z20" s="55">
        <f t="shared" si="23"/>
        <v>14112.000000000002</v>
      </c>
      <c r="AA20" s="55">
        <f t="shared" si="23"/>
        <v>60240</v>
      </c>
      <c r="AB20" s="55">
        <f t="shared" si="23"/>
        <v>64256</v>
      </c>
      <c r="AC20" s="55">
        <f t="shared" si="23"/>
        <v>68272</v>
      </c>
      <c r="AD20" s="55">
        <f t="shared" si="23"/>
        <v>72288.000000000015</v>
      </c>
      <c r="AE20" s="55">
        <f t="shared" si="23"/>
        <v>76304</v>
      </c>
      <c r="AF20" s="55">
        <f t="shared" si="23"/>
        <v>27200</v>
      </c>
      <c r="AG20" s="55">
        <f t="shared" si="23"/>
        <v>28560</v>
      </c>
      <c r="AH20" s="55">
        <f t="shared" si="23"/>
        <v>29919.999999999996</v>
      </c>
      <c r="AI20" s="55">
        <f t="shared" si="23"/>
        <v>31280.000000000004</v>
      </c>
      <c r="AJ20" s="55">
        <f t="shared" si="23"/>
        <v>32640</v>
      </c>
      <c r="AK20" s="55">
        <f t="shared" si="23"/>
        <v>12400.000000000002</v>
      </c>
      <c r="AL20" s="55">
        <f t="shared" si="23"/>
        <v>12896.000000000002</v>
      </c>
      <c r="AM20" s="55">
        <f t="shared" si="23"/>
        <v>13392.000000000002</v>
      </c>
      <c r="AN20" s="55">
        <f t="shared" si="23"/>
        <v>13888.000000000002</v>
      </c>
      <c r="AO20" s="55">
        <f t="shared" si="23"/>
        <v>14384</v>
      </c>
    </row>
    <row r="21" spans="1:41">
      <c r="A21" s="4" t="s">
        <v>35</v>
      </c>
      <c r="B21" s="6">
        <v>7650641</v>
      </c>
      <c r="C21" s="2" t="s">
        <v>69</v>
      </c>
      <c r="D21" s="8">
        <v>241054</v>
      </c>
      <c r="E21" s="2" t="s">
        <v>70</v>
      </c>
      <c r="F21" s="147">
        <v>320</v>
      </c>
      <c r="G21" s="145" t="s">
        <v>38</v>
      </c>
      <c r="I21" s="23" t="s">
        <v>335</v>
      </c>
      <c r="J21" s="18">
        <v>3</v>
      </c>
      <c r="K21" s="57">
        <f t="shared" si="21"/>
        <v>464952.00000000006</v>
      </c>
      <c r="L21" s="55">
        <f t="shared" ref="L21:AO21" si="24">K14*K7*480</f>
        <v>0</v>
      </c>
      <c r="M21" s="55">
        <f t="shared" si="24"/>
        <v>1209.5999999999999</v>
      </c>
      <c r="N21" s="55">
        <f t="shared" si="24"/>
        <v>2419.1999999999998</v>
      </c>
      <c r="O21" s="55">
        <f t="shared" si="24"/>
        <v>3628.8</v>
      </c>
      <c r="P21" s="55">
        <f t="shared" si="24"/>
        <v>4838.3999999999996</v>
      </c>
      <c r="Q21" s="55">
        <f t="shared" si="24"/>
        <v>6048</v>
      </c>
      <c r="R21" s="55">
        <f t="shared" si="24"/>
        <v>7257.6</v>
      </c>
      <c r="S21" s="55">
        <f t="shared" si="24"/>
        <v>8467.1999999999989</v>
      </c>
      <c r="T21" s="55">
        <f t="shared" si="24"/>
        <v>9676.7999999999993</v>
      </c>
      <c r="U21" s="55">
        <f t="shared" si="24"/>
        <v>10886.399999999998</v>
      </c>
      <c r="V21" s="55">
        <f t="shared" si="24"/>
        <v>20304</v>
      </c>
      <c r="W21" s="55">
        <f t="shared" si="24"/>
        <v>22334.399999999998</v>
      </c>
      <c r="X21" s="55">
        <f t="shared" si="24"/>
        <v>24364.800000000003</v>
      </c>
      <c r="Y21" s="55">
        <f t="shared" si="24"/>
        <v>26395.199999999997</v>
      </c>
      <c r="Z21" s="55">
        <f t="shared" si="24"/>
        <v>28425.599999999995</v>
      </c>
      <c r="AA21" s="55">
        <f t="shared" si="24"/>
        <v>34992</v>
      </c>
      <c r="AB21" s="55">
        <f t="shared" si="24"/>
        <v>37324.800000000003</v>
      </c>
      <c r="AC21" s="55">
        <f t="shared" si="24"/>
        <v>39657.600000000006</v>
      </c>
      <c r="AD21" s="55">
        <f t="shared" si="24"/>
        <v>41990.399999999994</v>
      </c>
      <c r="AE21" s="55">
        <f t="shared" si="24"/>
        <v>44323.200000000004</v>
      </c>
      <c r="AF21" s="55">
        <f t="shared" si="24"/>
        <v>11136</v>
      </c>
      <c r="AG21" s="55">
        <f t="shared" si="24"/>
        <v>11692.799999999997</v>
      </c>
      <c r="AH21" s="55">
        <f t="shared" si="24"/>
        <v>12249.599999999999</v>
      </c>
      <c r="AI21" s="55">
        <f t="shared" si="24"/>
        <v>12806.400000000001</v>
      </c>
      <c r="AJ21" s="55">
        <f t="shared" si="24"/>
        <v>13363.2</v>
      </c>
      <c r="AK21" s="55">
        <f t="shared" si="24"/>
        <v>5400</v>
      </c>
      <c r="AL21" s="55">
        <f t="shared" si="24"/>
        <v>5616.0000000000009</v>
      </c>
      <c r="AM21" s="55">
        <f t="shared" si="24"/>
        <v>5832</v>
      </c>
      <c r="AN21" s="55">
        <f t="shared" si="24"/>
        <v>6048</v>
      </c>
      <c r="AO21" s="55">
        <f t="shared" si="24"/>
        <v>6263.9999999999991</v>
      </c>
    </row>
    <row r="22" spans="1:41">
      <c r="A22" s="4" t="s">
        <v>39</v>
      </c>
      <c r="B22" s="6">
        <v>8697340</v>
      </c>
      <c r="C22" s="2" t="s">
        <v>71</v>
      </c>
      <c r="D22" s="8">
        <v>291928</v>
      </c>
      <c r="E22" s="2" t="s">
        <v>72</v>
      </c>
      <c r="F22" s="147">
        <v>420</v>
      </c>
      <c r="G22" s="145" t="s">
        <v>73</v>
      </c>
      <c r="I22" s="14"/>
      <c r="J22" s="38"/>
      <c r="K22" s="52"/>
      <c r="L22" s="60"/>
      <c r="M22" s="60"/>
      <c r="N22" s="60"/>
      <c r="O22" s="60"/>
      <c r="P22" s="60"/>
    </row>
    <row r="23" spans="1:41">
      <c r="A23" s="4" t="s">
        <v>43</v>
      </c>
      <c r="B23" s="6">
        <v>8008331</v>
      </c>
      <c r="C23" s="2" t="s">
        <v>74</v>
      </c>
      <c r="D23" s="8">
        <v>288898</v>
      </c>
      <c r="E23" s="2" t="s">
        <v>75</v>
      </c>
      <c r="F23" s="147">
        <v>268</v>
      </c>
      <c r="G23" s="145" t="s">
        <v>73</v>
      </c>
      <c r="K23" s="29" t="s">
        <v>343</v>
      </c>
      <c r="L23" s="33" t="s">
        <v>344</v>
      </c>
      <c r="M23" s="31" t="s">
        <v>345</v>
      </c>
      <c r="N23" s="30" t="s">
        <v>346</v>
      </c>
      <c r="O23" s="30"/>
      <c r="P23" s="30"/>
      <c r="Q23">
        <v>2011</v>
      </c>
      <c r="AA23" s="18"/>
      <c r="AB23" s="40" t="s">
        <v>343</v>
      </c>
      <c r="AC23" s="41" t="s">
        <v>344</v>
      </c>
      <c r="AD23" s="42" t="s">
        <v>345</v>
      </c>
      <c r="AE23" s="43" t="s">
        <v>346</v>
      </c>
      <c r="AF23" s="24" t="s">
        <v>336</v>
      </c>
      <c r="AH23" s="38"/>
      <c r="AI23" s="38"/>
      <c r="AJ23" s="38"/>
      <c r="AK23" s="38">
        <v>2011</v>
      </c>
      <c r="AL23" s="38">
        <v>2020</v>
      </c>
      <c r="AM23" s="38">
        <v>2030</v>
      </c>
      <c r="AN23" s="38">
        <v>2040</v>
      </c>
      <c r="AO23" s="38">
        <v>2050</v>
      </c>
    </row>
    <row r="24" spans="1:41">
      <c r="A24" s="4" t="s">
        <v>76</v>
      </c>
      <c r="B24" s="6">
        <v>106138652</v>
      </c>
      <c r="C24" s="2" t="s">
        <v>77</v>
      </c>
      <c r="D24" s="8">
        <v>2994405</v>
      </c>
      <c r="E24" s="2" t="s">
        <v>78</v>
      </c>
      <c r="F24" s="146">
        <v>10840</v>
      </c>
      <c r="G24" s="145" t="s">
        <v>79</v>
      </c>
      <c r="Q24" s="136" t="s">
        <v>342</v>
      </c>
      <c r="R24" s="136"/>
      <c r="S24" s="136" t="s">
        <v>333</v>
      </c>
      <c r="T24" s="136"/>
      <c r="U24" s="136" t="s">
        <v>334</v>
      </c>
      <c r="V24" s="136"/>
      <c r="W24" s="136" t="s">
        <v>335</v>
      </c>
      <c r="X24" s="136"/>
      <c r="AA24" s="20" t="s">
        <v>342</v>
      </c>
      <c r="AB24" s="45">
        <f>SUM(K11:N11)</f>
        <v>1562</v>
      </c>
      <c r="AC24" s="45">
        <f>SUM(O11:S11)</f>
        <v>1952.5</v>
      </c>
      <c r="AD24" s="45">
        <f>SUM(T11:X11)</f>
        <v>4080.1000000000004</v>
      </c>
      <c r="AE24" s="45">
        <f>SUM(Y11:AN11)</f>
        <v>4010.4000000000005</v>
      </c>
      <c r="AF24" s="46">
        <f>SUM(AB24:AE24)</f>
        <v>11605</v>
      </c>
      <c r="AJ24" s="38" t="s">
        <v>350</v>
      </c>
      <c r="AK24" s="48">
        <v>42600</v>
      </c>
      <c r="AL24" s="48">
        <v>46614</v>
      </c>
      <c r="AM24" s="48">
        <v>50608</v>
      </c>
      <c r="AN24" s="48">
        <v>54602</v>
      </c>
      <c r="AO24" s="51">
        <f>TREND(AK24:AN24,AK23:AN23,AO23)</f>
        <v>58805.365905469982</v>
      </c>
    </row>
    <row r="25" spans="1:41" ht="25.5">
      <c r="A25" s="4" t="s">
        <v>11</v>
      </c>
      <c r="B25" s="6">
        <v>14416558</v>
      </c>
      <c r="C25" s="2" t="s">
        <v>80</v>
      </c>
      <c r="D25" s="8">
        <v>311923</v>
      </c>
      <c r="E25" s="2" t="s">
        <v>81</v>
      </c>
      <c r="F25" s="146">
        <v>3414</v>
      </c>
      <c r="G25" s="145" t="s">
        <v>82</v>
      </c>
      <c r="Q25" s="32" t="s">
        <v>347</v>
      </c>
      <c r="R25" s="32" t="s">
        <v>348</v>
      </c>
      <c r="S25" s="32" t="s">
        <v>347</v>
      </c>
      <c r="T25" s="32" t="s">
        <v>348</v>
      </c>
      <c r="U25" s="32" t="s">
        <v>347</v>
      </c>
      <c r="V25" s="32" t="s">
        <v>348</v>
      </c>
      <c r="W25" s="32" t="s">
        <v>347</v>
      </c>
      <c r="X25" s="32" t="s">
        <v>348</v>
      </c>
      <c r="AA25" s="44" t="s">
        <v>333</v>
      </c>
      <c r="AB25" s="45">
        <f>SUM(K12:O12)</f>
        <v>75.5</v>
      </c>
      <c r="AC25" s="45">
        <f>SUM(P12:V12)</f>
        <v>229.10000000000002</v>
      </c>
      <c r="AD25" s="45">
        <f>SUM(W12:AD12)</f>
        <v>704.39999999999986</v>
      </c>
      <c r="AE25" s="45">
        <f>SUM(AE12:AN12)</f>
        <v>170.99999999999997</v>
      </c>
      <c r="AF25" s="46">
        <f t="shared" ref="AF25:AF27" si="25">SUM(AB25:AE25)</f>
        <v>1179.9999999999998</v>
      </c>
      <c r="AJ25" s="38" t="s">
        <v>351</v>
      </c>
      <c r="AK25" s="51">
        <f>AF28</f>
        <v>14875</v>
      </c>
      <c r="AL25" s="53">
        <f>$AK25/$AK24*AL24</f>
        <v>16276.602112676057</v>
      </c>
      <c r="AM25" s="53">
        <f>$AK25/$AK24*AM24</f>
        <v>17671.220657276997</v>
      </c>
      <c r="AN25" s="53">
        <f>$AK25/$AK24*AN24</f>
        <v>19065.839201877934</v>
      </c>
      <c r="AO25" s="53">
        <f>$AK25/$AK24*AO24</f>
        <v>20533.563799151783</v>
      </c>
    </row>
    <row r="26" spans="1:41">
      <c r="A26" s="4" t="s">
        <v>15</v>
      </c>
      <c r="B26" s="6">
        <v>16065713</v>
      </c>
      <c r="C26" s="2" t="s">
        <v>83</v>
      </c>
      <c r="D26" s="8">
        <v>401589</v>
      </c>
      <c r="E26" s="2" t="s">
        <v>84</v>
      </c>
      <c r="F26" s="146">
        <v>4192</v>
      </c>
      <c r="G26" s="145" t="s">
        <v>85</v>
      </c>
      <c r="J26" s="13" t="s">
        <v>331</v>
      </c>
      <c r="K26" s="13" t="s">
        <v>332</v>
      </c>
      <c r="L26" s="14" t="s">
        <v>333</v>
      </c>
      <c r="M26" s="14" t="s">
        <v>334</v>
      </c>
      <c r="N26" s="14" t="s">
        <v>335</v>
      </c>
      <c r="O26" s="14" t="s">
        <v>336</v>
      </c>
      <c r="Q26" s="21">
        <v>3905</v>
      </c>
      <c r="R26" s="18">
        <f>Q26/10</f>
        <v>390.5</v>
      </c>
      <c r="S26" s="18">
        <f>F72</f>
        <v>151</v>
      </c>
      <c r="T26" s="18">
        <f>S26/10</f>
        <v>15.1</v>
      </c>
      <c r="U26" s="18">
        <f>F124</f>
        <v>86</v>
      </c>
      <c r="V26" s="18">
        <f>U26/10</f>
        <v>8.6</v>
      </c>
      <c r="W26" s="18">
        <f>F114</f>
        <v>504</v>
      </c>
      <c r="X26" s="18">
        <f>W26/10</f>
        <v>50.4</v>
      </c>
      <c r="AA26" s="20" t="s">
        <v>334</v>
      </c>
      <c r="AB26" s="45">
        <f>SUM(K13:V13)</f>
        <v>111.19999999999997</v>
      </c>
      <c r="AC26" s="45">
        <f>SUM(W13:AN13)</f>
        <v>404.7999999999999</v>
      </c>
      <c r="AD26" s="47" t="s">
        <v>349</v>
      </c>
      <c r="AE26" s="47" t="s">
        <v>349</v>
      </c>
      <c r="AF26" s="46">
        <f t="shared" si="25"/>
        <v>515.99999999999989</v>
      </c>
      <c r="AJ26" s="49" t="s">
        <v>342</v>
      </c>
      <c r="AK26" s="51">
        <f>AF24</f>
        <v>11605</v>
      </c>
      <c r="AL26" s="53">
        <f>$AK26/$AK$25*AL$25</f>
        <v>12698.485211267607</v>
      </c>
      <c r="AM26" s="53">
        <f t="shared" ref="AM26:AO26" si="26">$AK26/$AK$25*AM$25</f>
        <v>13786.522065727702</v>
      </c>
      <c r="AN26" s="53">
        <f t="shared" si="26"/>
        <v>14874.558920187794</v>
      </c>
      <c r="AO26" s="53">
        <f t="shared" si="26"/>
        <v>16019.630782464299</v>
      </c>
    </row>
    <row r="27" spans="1:41">
      <c r="A27" s="4" t="s">
        <v>19</v>
      </c>
      <c r="B27" s="6">
        <v>17414442</v>
      </c>
      <c r="C27" s="2" t="s">
        <v>86</v>
      </c>
      <c r="D27" s="8">
        <v>488009</v>
      </c>
      <c r="E27" s="2" t="s">
        <v>87</v>
      </c>
      <c r="F27" s="146">
        <v>1190</v>
      </c>
      <c r="G27" s="145" t="s">
        <v>88</v>
      </c>
      <c r="I27" s="4" t="s">
        <v>337</v>
      </c>
      <c r="J27" s="8">
        <v>3414</v>
      </c>
      <c r="K27" s="7">
        <v>491</v>
      </c>
      <c r="L27" s="7">
        <v>151</v>
      </c>
      <c r="M27" s="7">
        <v>86</v>
      </c>
      <c r="N27" s="7">
        <v>86</v>
      </c>
      <c r="O27" s="16">
        <f>SUM(J27:N27)</f>
        <v>4228</v>
      </c>
      <c r="Q27" s="21">
        <v>4612</v>
      </c>
      <c r="R27" s="18">
        <f>Q27/5</f>
        <v>922.4</v>
      </c>
      <c r="S27" s="18">
        <f t="shared" ref="S27:S29" si="27">F73</f>
        <v>384</v>
      </c>
      <c r="T27" s="18">
        <f>S27/5</f>
        <v>76.8</v>
      </c>
      <c r="U27" s="18">
        <f t="shared" ref="U27:U30" si="28">F125</f>
        <v>63</v>
      </c>
      <c r="V27" s="18">
        <f>U27/5</f>
        <v>12.6</v>
      </c>
      <c r="W27" s="18">
        <f t="shared" ref="W27:W30" si="29">F115</f>
        <v>423</v>
      </c>
      <c r="X27" s="18">
        <f>W27/5</f>
        <v>84.6</v>
      </c>
      <c r="AA27" s="20" t="s">
        <v>335</v>
      </c>
      <c r="AB27" s="45">
        <f>SUM(K14:AN14)</f>
        <v>1574.0000000000005</v>
      </c>
      <c r="AC27" s="47" t="s">
        <v>349</v>
      </c>
      <c r="AD27" s="47" t="s">
        <v>349</v>
      </c>
      <c r="AE27" s="47" t="s">
        <v>349</v>
      </c>
      <c r="AF27" s="46">
        <f t="shared" si="25"/>
        <v>1574.0000000000005</v>
      </c>
      <c r="AJ27" s="50" t="s">
        <v>333</v>
      </c>
      <c r="AK27" s="51">
        <f t="shared" ref="AK27:AK29" si="30">AF25</f>
        <v>1179.9999999999998</v>
      </c>
      <c r="AL27" s="53">
        <f t="shared" ref="AL27:AO29" si="31">$AK27/$AK$25*AL$25</f>
        <v>1291.1859154929575</v>
      </c>
      <c r="AM27" s="53">
        <f t="shared" si="31"/>
        <v>1401.8178403755867</v>
      </c>
      <c r="AN27" s="53">
        <f t="shared" si="31"/>
        <v>1512.4497652582156</v>
      </c>
      <c r="AO27" s="53">
        <f t="shared" si="31"/>
        <v>1628.8810274285108</v>
      </c>
    </row>
    <row r="28" spans="1:41">
      <c r="A28" s="4" t="s">
        <v>23</v>
      </c>
      <c r="B28" s="6">
        <v>16464673</v>
      </c>
      <c r="C28" s="2" t="s">
        <v>89</v>
      </c>
      <c r="D28" s="8">
        <v>474841</v>
      </c>
      <c r="E28" s="2" t="s">
        <v>90</v>
      </c>
      <c r="F28" s="147">
        <v>778</v>
      </c>
      <c r="G28" s="145" t="s">
        <v>91</v>
      </c>
      <c r="I28" s="4" t="s">
        <v>338</v>
      </c>
      <c r="J28" s="8">
        <v>4192</v>
      </c>
      <c r="K28" s="7">
        <v>420</v>
      </c>
      <c r="L28" s="7">
        <v>384</v>
      </c>
      <c r="M28" s="7">
        <v>63</v>
      </c>
      <c r="N28" s="7">
        <v>63</v>
      </c>
      <c r="O28" s="16">
        <f t="shared" ref="O28:O32" si="32">SUM(J28:N28)</f>
        <v>5122</v>
      </c>
      <c r="Q28" s="21">
        <v>1396</v>
      </c>
      <c r="R28" s="18">
        <f t="shared" ref="R28:R30" si="33">Q28/5</f>
        <v>279.2</v>
      </c>
      <c r="S28" s="18">
        <f t="shared" si="27"/>
        <v>474</v>
      </c>
      <c r="T28" s="18">
        <f t="shared" ref="T28:T30" si="34">S28/5</f>
        <v>94.8</v>
      </c>
      <c r="U28" s="18">
        <f t="shared" si="28"/>
        <v>251</v>
      </c>
      <c r="V28" s="18">
        <f t="shared" ref="V28:V30" si="35">U28/5</f>
        <v>50.2</v>
      </c>
      <c r="W28" s="18">
        <f t="shared" si="29"/>
        <v>486</v>
      </c>
      <c r="X28" s="18">
        <f t="shared" ref="X28:X30" si="36">W28/5</f>
        <v>97.2</v>
      </c>
      <c r="AA28" s="24" t="s">
        <v>336</v>
      </c>
      <c r="AB28" s="46">
        <f>SUM(AB24:AB27)</f>
        <v>3322.7000000000007</v>
      </c>
      <c r="AC28" s="46">
        <f t="shared" ref="AC28:AF28" si="37">SUM(AC24:AC27)</f>
        <v>2586.3999999999996</v>
      </c>
      <c r="AD28" s="46">
        <f t="shared" si="37"/>
        <v>4784.5</v>
      </c>
      <c r="AE28" s="46">
        <f t="shared" si="37"/>
        <v>4181.4000000000005</v>
      </c>
      <c r="AF28" s="46">
        <f t="shared" si="37"/>
        <v>14875</v>
      </c>
      <c r="AJ28" s="50" t="s">
        <v>334</v>
      </c>
      <c r="AK28" s="51">
        <f t="shared" si="30"/>
        <v>515.99999999999989</v>
      </c>
      <c r="AL28" s="53">
        <f t="shared" si="31"/>
        <v>564.6202816901407</v>
      </c>
      <c r="AM28" s="53">
        <f t="shared" si="31"/>
        <v>612.99830985915492</v>
      </c>
      <c r="AN28" s="53">
        <f t="shared" si="31"/>
        <v>661.3763380281689</v>
      </c>
      <c r="AO28" s="53">
        <f t="shared" si="31"/>
        <v>712.29034758738271</v>
      </c>
    </row>
    <row r="29" spans="1:41">
      <c r="A29" s="4" t="s">
        <v>27</v>
      </c>
      <c r="B29" s="6">
        <v>6847344</v>
      </c>
      <c r="C29" s="2" t="s">
        <v>92</v>
      </c>
      <c r="D29" s="8">
        <v>202053</v>
      </c>
      <c r="E29" s="2" t="s">
        <v>93</v>
      </c>
      <c r="F29" s="147">
        <v>135</v>
      </c>
      <c r="G29" s="145" t="s">
        <v>94</v>
      </c>
      <c r="I29" s="4" t="s">
        <v>339</v>
      </c>
      <c r="J29" s="8">
        <v>1190</v>
      </c>
      <c r="K29" s="7">
        <v>206</v>
      </c>
      <c r="L29" s="7">
        <v>474</v>
      </c>
      <c r="M29" s="7">
        <v>251</v>
      </c>
      <c r="N29" s="7">
        <v>251</v>
      </c>
      <c r="O29" s="16">
        <f t="shared" si="32"/>
        <v>2372</v>
      </c>
      <c r="Q29" s="22">
        <v>957</v>
      </c>
      <c r="R29" s="18">
        <f t="shared" si="33"/>
        <v>191.4</v>
      </c>
      <c r="S29" s="18">
        <f t="shared" si="27"/>
        <v>115</v>
      </c>
      <c r="T29" s="18">
        <f t="shared" si="34"/>
        <v>23</v>
      </c>
      <c r="U29" s="18">
        <f t="shared" si="28"/>
        <v>85</v>
      </c>
      <c r="V29" s="18">
        <f t="shared" si="35"/>
        <v>17</v>
      </c>
      <c r="W29" s="18">
        <f t="shared" si="29"/>
        <v>116</v>
      </c>
      <c r="X29" s="18">
        <f t="shared" si="36"/>
        <v>23.2</v>
      </c>
      <c r="AJ29" s="50" t="s">
        <v>335</v>
      </c>
      <c r="AK29" s="51">
        <f t="shared" si="30"/>
        <v>1574.0000000000005</v>
      </c>
      <c r="AL29" s="53">
        <f t="shared" si="31"/>
        <v>1722.3107042253528</v>
      </c>
      <c r="AM29" s="53">
        <f t="shared" si="31"/>
        <v>1869.8824413145549</v>
      </c>
      <c r="AN29" s="53">
        <f t="shared" si="31"/>
        <v>2017.4541784037565</v>
      </c>
      <c r="AO29" s="53">
        <f t="shared" si="31"/>
        <v>2172.761641671591</v>
      </c>
    </row>
    <row r="30" spans="1:41">
      <c r="A30" s="4" t="s">
        <v>31</v>
      </c>
      <c r="B30" s="6">
        <v>14290909</v>
      </c>
      <c r="C30" s="2" t="s">
        <v>95</v>
      </c>
      <c r="D30" s="8">
        <v>426921</v>
      </c>
      <c r="E30" s="2" t="s">
        <v>96</v>
      </c>
      <c r="F30" s="147">
        <v>226</v>
      </c>
      <c r="G30" s="145" t="s">
        <v>97</v>
      </c>
      <c r="I30" s="4" t="s">
        <v>340</v>
      </c>
      <c r="J30" s="7">
        <v>778</v>
      </c>
      <c r="K30" s="7">
        <v>179</v>
      </c>
      <c r="L30" s="7">
        <v>115</v>
      </c>
      <c r="M30" s="7">
        <v>85</v>
      </c>
      <c r="N30" s="7">
        <v>85</v>
      </c>
      <c r="O30" s="16">
        <f t="shared" si="32"/>
        <v>1242</v>
      </c>
      <c r="Q30" s="22">
        <v>147</v>
      </c>
      <c r="R30" s="18">
        <f t="shared" si="33"/>
        <v>29.4</v>
      </c>
      <c r="S30" s="18">
        <f>F76</f>
        <v>56</v>
      </c>
      <c r="T30" s="18">
        <f t="shared" si="34"/>
        <v>11.2</v>
      </c>
      <c r="U30" s="18">
        <f t="shared" si="28"/>
        <v>31</v>
      </c>
      <c r="V30" s="18">
        <f t="shared" si="35"/>
        <v>6.2</v>
      </c>
      <c r="W30" s="18">
        <f t="shared" si="29"/>
        <v>45</v>
      </c>
      <c r="X30" s="18">
        <f t="shared" si="36"/>
        <v>9</v>
      </c>
      <c r="AA30" s="18"/>
      <c r="AB30" s="40" t="s">
        <v>343</v>
      </c>
      <c r="AC30" s="41" t="s">
        <v>344</v>
      </c>
      <c r="AD30" s="42" t="s">
        <v>345</v>
      </c>
      <c r="AE30" s="43" t="s">
        <v>346</v>
      </c>
      <c r="AF30" s="24" t="s">
        <v>336</v>
      </c>
    </row>
    <row r="31" spans="1:41">
      <c r="A31" s="4" t="s">
        <v>35</v>
      </c>
      <c r="B31" s="6">
        <v>6682365</v>
      </c>
      <c r="C31" s="2" t="s">
        <v>98</v>
      </c>
      <c r="D31" s="8">
        <v>211051</v>
      </c>
      <c r="E31" s="2" t="s">
        <v>99</v>
      </c>
      <c r="F31" s="147">
        <v>264</v>
      </c>
      <c r="G31" s="145" t="s">
        <v>100</v>
      </c>
      <c r="I31" s="4" t="s">
        <v>341</v>
      </c>
      <c r="J31" s="7">
        <v>135</v>
      </c>
      <c r="K31" s="7">
        <v>12</v>
      </c>
      <c r="L31" s="7">
        <v>56</v>
      </c>
      <c r="M31" s="7">
        <v>31</v>
      </c>
      <c r="N31" s="7">
        <v>31</v>
      </c>
      <c r="O31" s="16">
        <f t="shared" si="32"/>
        <v>265</v>
      </c>
      <c r="AA31" s="20" t="s">
        <v>342</v>
      </c>
      <c r="AB31" s="59">
        <f>AB24/$AF$28</f>
        <v>0.10500840336134454</v>
      </c>
      <c r="AC31" s="59">
        <f t="shared" ref="AC31:AF31" si="38">AC24/$AF$28</f>
        <v>0.13126050420168067</v>
      </c>
      <c r="AD31" s="59">
        <f t="shared" si="38"/>
        <v>0.27429243697478994</v>
      </c>
      <c r="AE31" s="59">
        <f t="shared" si="38"/>
        <v>0.26960672268907565</v>
      </c>
      <c r="AF31" s="59">
        <f t="shared" si="38"/>
        <v>0.7801680672268908</v>
      </c>
      <c r="AJ31" s="14" t="s">
        <v>356</v>
      </c>
      <c r="AK31">
        <v>2011</v>
      </c>
      <c r="AL31">
        <v>2020</v>
      </c>
      <c r="AM31">
        <v>2030</v>
      </c>
      <c r="AN31">
        <v>2040</v>
      </c>
      <c r="AO31">
        <v>2050</v>
      </c>
    </row>
    <row r="32" spans="1:41">
      <c r="A32" s="4" t="s">
        <v>39</v>
      </c>
      <c r="B32" s="6">
        <v>7445312</v>
      </c>
      <c r="C32" s="2" t="s">
        <v>101</v>
      </c>
      <c r="D32" s="8">
        <v>248261</v>
      </c>
      <c r="E32" s="2" t="s">
        <v>102</v>
      </c>
      <c r="F32" s="147">
        <v>380</v>
      </c>
      <c r="G32" s="145" t="s">
        <v>103</v>
      </c>
      <c r="I32" s="15" t="s">
        <v>336</v>
      </c>
      <c r="J32" s="17">
        <f>SUM(J27:J31)</f>
        <v>9709</v>
      </c>
      <c r="K32" s="17">
        <f t="shared" ref="K32:N32" si="39">SUM(K27:K31)</f>
        <v>1308</v>
      </c>
      <c r="L32" s="17">
        <f t="shared" si="39"/>
        <v>1180</v>
      </c>
      <c r="M32" s="17">
        <f t="shared" si="39"/>
        <v>516</v>
      </c>
      <c r="N32" s="17">
        <f t="shared" si="39"/>
        <v>516</v>
      </c>
      <c r="O32" s="16">
        <f t="shared" si="32"/>
        <v>13229</v>
      </c>
      <c r="AA32" s="44" t="s">
        <v>333</v>
      </c>
      <c r="AB32" s="59">
        <f t="shared" ref="AB32:AF32" si="40">AB25/$AF$28</f>
        <v>5.0756302521008404E-3</v>
      </c>
      <c r="AC32" s="59">
        <f t="shared" si="40"/>
        <v>1.540168067226891E-2</v>
      </c>
      <c r="AD32" s="59">
        <f t="shared" si="40"/>
        <v>4.7354621848739488E-2</v>
      </c>
      <c r="AE32" s="59">
        <f t="shared" si="40"/>
        <v>1.1495798319327729E-2</v>
      </c>
      <c r="AF32" s="59">
        <f t="shared" si="40"/>
        <v>7.9327731092436959E-2</v>
      </c>
      <c r="AJ32" s="14" t="s">
        <v>342</v>
      </c>
      <c r="AK32" s="54">
        <f>K18</f>
        <v>38513300</v>
      </c>
      <c r="AL32" s="54">
        <f>$AK32/$AK$24*AL$24</f>
        <v>42142229.253521129</v>
      </c>
      <c r="AM32" s="54">
        <f t="shared" ref="AM32:AO32" si="41">$AK32/$AK$24*AM$24</f>
        <v>45753077.145539902</v>
      </c>
      <c r="AN32" s="54">
        <f t="shared" si="41"/>
        <v>49363925.037558682</v>
      </c>
      <c r="AO32" s="54">
        <f t="shared" si="41"/>
        <v>53164053.960730918</v>
      </c>
    </row>
    <row r="33" spans="1:41">
      <c r="A33" s="4" t="s">
        <v>43</v>
      </c>
      <c r="B33" s="6">
        <v>6511336</v>
      </c>
      <c r="C33" s="2" t="s">
        <v>104</v>
      </c>
      <c r="D33" s="8">
        <v>229757</v>
      </c>
      <c r="E33" s="2" t="s">
        <v>105</v>
      </c>
      <c r="F33" s="147">
        <v>261</v>
      </c>
      <c r="G33" s="145" t="s">
        <v>73</v>
      </c>
      <c r="AA33" s="20" t="s">
        <v>334</v>
      </c>
      <c r="AB33" s="59">
        <f t="shared" ref="AB33:AF33" si="42">AB26/$AF$28</f>
        <v>7.4756302521008389E-3</v>
      </c>
      <c r="AC33" s="59">
        <f t="shared" si="42"/>
        <v>2.7213445378151253E-2</v>
      </c>
      <c r="AD33" s="59">
        <v>0</v>
      </c>
      <c r="AE33" s="59">
        <v>0</v>
      </c>
      <c r="AF33" s="59">
        <f t="shared" si="42"/>
        <v>3.4689075630252093E-2</v>
      </c>
      <c r="AJ33" s="14" t="s">
        <v>333</v>
      </c>
      <c r="AK33" s="54">
        <f t="shared" ref="AK33:AK35" si="43">K19</f>
        <v>3477500</v>
      </c>
      <c r="AL33" s="54">
        <f t="shared" ref="AL33:AO35" si="44">$AK33/$AK$24*AL$24</f>
        <v>3805168.6619718312</v>
      </c>
      <c r="AM33" s="54">
        <f t="shared" si="44"/>
        <v>4131204.694835681</v>
      </c>
      <c r="AN33" s="54">
        <f t="shared" si="44"/>
        <v>4457240.7276995312</v>
      </c>
      <c r="AO33" s="54">
        <f t="shared" si="44"/>
        <v>4800367.6041378379</v>
      </c>
    </row>
    <row r="34" spans="1:41">
      <c r="A34" s="4" t="s">
        <v>106</v>
      </c>
      <c r="B34" s="6">
        <v>14176794</v>
      </c>
      <c r="C34" s="2" t="s">
        <v>107</v>
      </c>
      <c r="D34" s="8">
        <v>402758</v>
      </c>
      <c r="E34" s="2" t="s">
        <v>108</v>
      </c>
      <c r="F34" s="146">
        <v>1444</v>
      </c>
      <c r="G34" s="145" t="s">
        <v>109</v>
      </c>
      <c r="AA34" s="20" t="s">
        <v>335</v>
      </c>
      <c r="AB34" s="59">
        <f t="shared" ref="AB34:AF34" si="45">AB27/$AF$28</f>
        <v>0.10581512605042021</v>
      </c>
      <c r="AC34" s="59">
        <v>0</v>
      </c>
      <c r="AD34" s="59">
        <v>0</v>
      </c>
      <c r="AE34" s="59">
        <v>0</v>
      </c>
      <c r="AF34" s="59">
        <f t="shared" si="45"/>
        <v>0.10581512605042021</v>
      </c>
      <c r="AJ34" s="14" t="s">
        <v>334</v>
      </c>
      <c r="AK34" s="54">
        <f t="shared" si="43"/>
        <v>649360</v>
      </c>
      <c r="AL34" s="54">
        <f t="shared" si="44"/>
        <v>710546.17464788735</v>
      </c>
      <c r="AM34" s="54">
        <f t="shared" si="44"/>
        <v>771427.48544600944</v>
      </c>
      <c r="AN34" s="54">
        <f t="shared" si="44"/>
        <v>832308.79624413152</v>
      </c>
      <c r="AO34" s="54">
        <f t="shared" si="44"/>
        <v>896381.51183981192</v>
      </c>
    </row>
    <row r="35" spans="1:41" ht="25.5">
      <c r="A35" s="4" t="s">
        <v>11</v>
      </c>
      <c r="B35" s="6">
        <v>1568302</v>
      </c>
      <c r="C35" s="2" t="s">
        <v>110</v>
      </c>
      <c r="D35" s="8">
        <v>35612</v>
      </c>
      <c r="E35" s="2" t="s">
        <v>111</v>
      </c>
      <c r="F35" s="147">
        <v>491</v>
      </c>
      <c r="G35" s="145" t="s">
        <v>112</v>
      </c>
      <c r="H35" s="61"/>
      <c r="I35" s="24"/>
      <c r="J35" s="26" t="s">
        <v>337</v>
      </c>
      <c r="K35" s="26" t="s">
        <v>338</v>
      </c>
      <c r="L35" s="26" t="s">
        <v>339</v>
      </c>
      <c r="M35" s="26" t="s">
        <v>340</v>
      </c>
      <c r="N35" s="26" t="s">
        <v>341</v>
      </c>
      <c r="O35" s="26" t="s">
        <v>336</v>
      </c>
      <c r="AA35" s="24" t="s">
        <v>336</v>
      </c>
      <c r="AB35" s="59">
        <f t="shared" ref="AB35:AF35" si="46">AB28/$AF$28</f>
        <v>0.22337478991596643</v>
      </c>
      <c r="AC35" s="59">
        <f t="shared" si="46"/>
        <v>0.17387563025210082</v>
      </c>
      <c r="AD35" s="59">
        <f t="shared" si="46"/>
        <v>0.3216470588235294</v>
      </c>
      <c r="AE35" s="59">
        <f t="shared" si="46"/>
        <v>0.28110252100840338</v>
      </c>
      <c r="AF35" s="59">
        <f t="shared" si="46"/>
        <v>1</v>
      </c>
      <c r="AJ35" s="14" t="s">
        <v>335</v>
      </c>
      <c r="AK35" s="54">
        <f t="shared" si="43"/>
        <v>464952.00000000006</v>
      </c>
      <c r="AL35" s="54">
        <f t="shared" si="44"/>
        <v>508762.26591549302</v>
      </c>
      <c r="AM35" s="54">
        <f t="shared" si="44"/>
        <v>552354.24450704234</v>
      </c>
      <c r="AN35" s="54">
        <f t="shared" si="44"/>
        <v>595946.22309859155</v>
      </c>
      <c r="AO35" s="54">
        <f t="shared" si="44"/>
        <v>641823.29785164504</v>
      </c>
    </row>
    <row r="36" spans="1:41">
      <c r="A36" s="4" t="s">
        <v>15</v>
      </c>
      <c r="B36" s="6">
        <v>1852491</v>
      </c>
      <c r="C36" s="2" t="s">
        <v>113</v>
      </c>
      <c r="D36" s="8">
        <v>45603</v>
      </c>
      <c r="E36" s="2" t="s">
        <v>114</v>
      </c>
      <c r="F36" s="147">
        <v>420</v>
      </c>
      <c r="G36" s="145" t="s">
        <v>115</v>
      </c>
      <c r="H36" s="61"/>
      <c r="I36" s="24" t="s">
        <v>342</v>
      </c>
      <c r="J36" s="8">
        <v>3905</v>
      </c>
      <c r="K36" s="8">
        <v>4612</v>
      </c>
      <c r="L36" s="8">
        <v>1396</v>
      </c>
      <c r="M36" s="7">
        <v>957</v>
      </c>
      <c r="N36" s="7">
        <v>147</v>
      </c>
      <c r="O36" s="28">
        <f>SUM(J36:N36)</f>
        <v>11017</v>
      </c>
    </row>
    <row r="37" spans="1:41">
      <c r="A37" s="4" t="s">
        <v>19</v>
      </c>
      <c r="B37" s="6">
        <v>2084854</v>
      </c>
      <c r="C37" s="2" t="s">
        <v>116</v>
      </c>
      <c r="D37" s="8">
        <v>52779</v>
      </c>
      <c r="E37" s="2" t="s">
        <v>117</v>
      </c>
      <c r="F37" s="147">
        <v>206</v>
      </c>
      <c r="G37" s="145" t="s">
        <v>30</v>
      </c>
      <c r="H37" s="61"/>
      <c r="I37" s="25" t="s">
        <v>333</v>
      </c>
      <c r="J37" s="22">
        <v>151</v>
      </c>
      <c r="K37" s="22">
        <v>384</v>
      </c>
      <c r="L37" s="22">
        <v>474</v>
      </c>
      <c r="M37" s="22">
        <v>115</v>
      </c>
      <c r="N37" s="22">
        <v>56</v>
      </c>
      <c r="O37" s="28">
        <f>SUM(J37:N37)</f>
        <v>1180</v>
      </c>
      <c r="AJ37" s="14" t="s">
        <v>355</v>
      </c>
      <c r="AK37">
        <v>2011</v>
      </c>
      <c r="AL37">
        <v>2020</v>
      </c>
      <c r="AM37">
        <v>2030</v>
      </c>
      <c r="AN37">
        <v>2040</v>
      </c>
      <c r="AO37">
        <v>2050</v>
      </c>
    </row>
    <row r="38" spans="1:41">
      <c r="A38" s="4" t="s">
        <v>23</v>
      </c>
      <c r="B38" s="6">
        <v>2019604</v>
      </c>
      <c r="C38" s="2" t="s">
        <v>118</v>
      </c>
      <c r="D38" s="8">
        <v>52311</v>
      </c>
      <c r="E38" s="2" t="s">
        <v>119</v>
      </c>
      <c r="F38" s="147">
        <v>179</v>
      </c>
      <c r="G38" s="145" t="s">
        <v>120</v>
      </c>
      <c r="H38" s="61"/>
      <c r="I38" s="25" t="s">
        <v>334</v>
      </c>
      <c r="J38" s="22">
        <v>86</v>
      </c>
      <c r="K38" s="22">
        <v>63</v>
      </c>
      <c r="L38" s="22">
        <v>251</v>
      </c>
      <c r="M38" s="22">
        <v>85</v>
      </c>
      <c r="N38" s="22">
        <v>31</v>
      </c>
      <c r="O38" s="28">
        <f>SUM(J38:N38)</f>
        <v>516</v>
      </c>
      <c r="AJ38" s="14" t="s">
        <v>342</v>
      </c>
      <c r="AK38" s="54">
        <f>AK32/1.07</f>
        <v>35993738.31775701</v>
      </c>
      <c r="AL38" s="54">
        <f t="shared" ref="AL38:AO38" si="47">AL32/1.07</f>
        <v>39385260.984599181</v>
      </c>
      <c r="AM38" s="54">
        <f t="shared" si="47"/>
        <v>42759885.182747573</v>
      </c>
      <c r="AN38" s="54">
        <f t="shared" si="47"/>
        <v>46134509.380895965</v>
      </c>
      <c r="AO38" s="54">
        <f t="shared" si="47"/>
        <v>49686031.739000857</v>
      </c>
    </row>
    <row r="39" spans="1:41">
      <c r="A39" s="4" t="s">
        <v>27</v>
      </c>
      <c r="B39" s="6">
        <v>813677</v>
      </c>
      <c r="C39" s="2" t="s">
        <v>121</v>
      </c>
      <c r="D39" s="8">
        <v>22415</v>
      </c>
      <c r="E39" s="2" t="s">
        <v>122</v>
      </c>
      <c r="F39" s="147">
        <v>12</v>
      </c>
      <c r="G39" s="145" t="s">
        <v>123</v>
      </c>
      <c r="H39" s="61"/>
      <c r="I39" s="25" t="s">
        <v>335</v>
      </c>
      <c r="J39" s="22">
        <v>86</v>
      </c>
      <c r="K39" s="22">
        <v>63</v>
      </c>
      <c r="L39" s="22">
        <v>251</v>
      </c>
      <c r="M39" s="22">
        <v>85</v>
      </c>
      <c r="N39" s="22">
        <v>31</v>
      </c>
      <c r="O39" s="28">
        <f>SUM(J39:N39)</f>
        <v>516</v>
      </c>
      <c r="AJ39" s="14" t="s">
        <v>333</v>
      </c>
      <c r="AK39" s="54">
        <f>AK33/20</f>
        <v>173875</v>
      </c>
      <c r="AL39" s="54">
        <f t="shared" ref="AL39:AO39" si="48">AL33/20</f>
        <v>190258.43309859157</v>
      </c>
      <c r="AM39" s="54">
        <f t="shared" si="48"/>
        <v>206560.23474178405</v>
      </c>
      <c r="AN39" s="54">
        <f t="shared" si="48"/>
        <v>222862.03638497656</v>
      </c>
      <c r="AO39" s="54">
        <f t="shared" si="48"/>
        <v>240018.38020689189</v>
      </c>
    </row>
    <row r="40" spans="1:41">
      <c r="A40" s="4" t="s">
        <v>31</v>
      </c>
      <c r="B40" s="6">
        <v>2120567</v>
      </c>
      <c r="C40" s="2" t="s">
        <v>124</v>
      </c>
      <c r="D40" s="8">
        <v>61227</v>
      </c>
      <c r="E40" s="2" t="s">
        <v>125</v>
      </c>
      <c r="F40" s="147">
        <v>33</v>
      </c>
      <c r="G40" s="145" t="s">
        <v>126</v>
      </c>
      <c r="H40" s="61"/>
      <c r="I40" s="25" t="s">
        <v>336</v>
      </c>
      <c r="J40" s="27">
        <f t="shared" ref="J40:O40" si="49">SUM(J36:J39)</f>
        <v>4228</v>
      </c>
      <c r="K40" s="27">
        <f t="shared" si="49"/>
        <v>5122</v>
      </c>
      <c r="L40" s="27">
        <f t="shared" si="49"/>
        <v>2372</v>
      </c>
      <c r="M40" s="27">
        <f t="shared" si="49"/>
        <v>1242</v>
      </c>
      <c r="N40" s="27">
        <f t="shared" si="49"/>
        <v>265</v>
      </c>
      <c r="O40" s="27">
        <f t="shared" si="49"/>
        <v>13229</v>
      </c>
      <c r="AJ40" s="14" t="s">
        <v>336</v>
      </c>
      <c r="AK40" s="54">
        <f>SUM(AK38:AK39)</f>
        <v>36167613.31775701</v>
      </c>
      <c r="AL40" s="54">
        <f t="shared" ref="AL40:AO40" si="50">SUM(AL38:AL39)</f>
        <v>39575519.417697772</v>
      </c>
      <c r="AM40" s="54">
        <f t="shared" si="50"/>
        <v>42966445.417489357</v>
      </c>
      <c r="AN40" s="54">
        <f t="shared" si="50"/>
        <v>46357371.417280942</v>
      </c>
      <c r="AO40" s="54">
        <f t="shared" si="50"/>
        <v>49926050.119207747</v>
      </c>
    </row>
    <row r="41" spans="1:41">
      <c r="A41" s="4" t="s">
        <v>35</v>
      </c>
      <c r="B41" s="6">
        <v>968276</v>
      </c>
      <c r="C41" s="2" t="s">
        <v>127</v>
      </c>
      <c r="D41" s="8">
        <v>30003</v>
      </c>
      <c r="E41" s="2" t="s">
        <v>128</v>
      </c>
      <c r="F41" s="147">
        <v>56</v>
      </c>
      <c r="G41" s="145" t="s">
        <v>129</v>
      </c>
      <c r="H41" s="61"/>
    </row>
    <row r="42" spans="1:41">
      <c r="A42" s="4" t="s">
        <v>39</v>
      </c>
      <c r="B42" s="6">
        <v>1252028</v>
      </c>
      <c r="C42" s="2" t="s">
        <v>130</v>
      </c>
      <c r="D42" s="8">
        <v>43667</v>
      </c>
      <c r="E42" s="2" t="s">
        <v>131</v>
      </c>
      <c r="F42" s="147">
        <v>40</v>
      </c>
      <c r="G42" s="145" t="s">
        <v>132</v>
      </c>
      <c r="H42" s="61"/>
      <c r="I42" s="63" t="s">
        <v>365</v>
      </c>
      <c r="AI42" s="87"/>
      <c r="AK42">
        <v>2011</v>
      </c>
      <c r="AL42">
        <v>2020</v>
      </c>
      <c r="AM42">
        <v>2030</v>
      </c>
      <c r="AN42">
        <v>2040</v>
      </c>
      <c r="AO42">
        <v>2050</v>
      </c>
    </row>
    <row r="43" spans="1:41" ht="13.5" thickBot="1">
      <c r="A43" s="4" t="s">
        <v>43</v>
      </c>
      <c r="B43" s="6">
        <v>1496995</v>
      </c>
      <c r="C43" s="2" t="s">
        <v>133</v>
      </c>
      <c r="D43" s="8">
        <v>59141</v>
      </c>
      <c r="E43" s="2" t="s">
        <v>134</v>
      </c>
      <c r="F43" s="147">
        <v>7</v>
      </c>
      <c r="G43" s="145" t="s">
        <v>135</v>
      </c>
      <c r="H43" s="61"/>
      <c r="I43" s="13" t="s">
        <v>361</v>
      </c>
      <c r="J43" s="142">
        <v>2011</v>
      </c>
      <c r="K43" s="142"/>
      <c r="L43" s="142"/>
      <c r="M43" s="142"/>
      <c r="N43" s="142"/>
      <c r="O43" s="134">
        <v>2020</v>
      </c>
      <c r="P43" s="134"/>
      <c r="Q43" s="134"/>
      <c r="R43" s="134"/>
      <c r="S43" s="134"/>
      <c r="T43" s="134">
        <v>2030</v>
      </c>
      <c r="U43" s="134"/>
      <c r="V43" s="134"/>
      <c r="W43" s="134"/>
      <c r="X43" s="134"/>
      <c r="Y43" s="134">
        <v>2040</v>
      </c>
      <c r="Z43" s="134"/>
      <c r="AA43" s="134"/>
      <c r="AB43" s="134"/>
      <c r="AC43" s="134"/>
      <c r="AD43" s="134">
        <v>2050</v>
      </c>
      <c r="AE43" s="134"/>
      <c r="AF43" s="134"/>
      <c r="AG43" s="134"/>
      <c r="AH43" s="134"/>
      <c r="AI43" s="88"/>
      <c r="AJ43" s="13" t="s">
        <v>357</v>
      </c>
      <c r="AK43" s="52">
        <v>171612796.61543882</v>
      </c>
      <c r="AL43" s="52">
        <v>184856144.61745518</v>
      </c>
      <c r="AM43" s="52">
        <v>212374649.9766697</v>
      </c>
      <c r="AN43" s="52">
        <v>236098057.0314123</v>
      </c>
      <c r="AO43" s="9">
        <v>261572614.72960871</v>
      </c>
    </row>
    <row r="44" spans="1:41">
      <c r="A44" s="4" t="s">
        <v>136</v>
      </c>
      <c r="B44" s="6">
        <v>10941175</v>
      </c>
      <c r="C44" s="2" t="s">
        <v>137</v>
      </c>
      <c r="D44" s="8">
        <v>299904</v>
      </c>
      <c r="E44" s="2" t="s">
        <v>138</v>
      </c>
      <c r="F44" s="146">
        <v>1206</v>
      </c>
      <c r="G44" s="145" t="s">
        <v>139</v>
      </c>
      <c r="I44" s="112"/>
      <c r="J44" s="103" t="s">
        <v>343</v>
      </c>
      <c r="K44" s="80" t="s">
        <v>344</v>
      </c>
      <c r="L44" s="81" t="s">
        <v>345</v>
      </c>
      <c r="M44" s="82" t="s">
        <v>346</v>
      </c>
      <c r="N44" s="83" t="s">
        <v>336</v>
      </c>
      <c r="O44" s="101" t="s">
        <v>343</v>
      </c>
      <c r="P44" s="66" t="s">
        <v>344</v>
      </c>
      <c r="Q44" s="67" t="s">
        <v>345</v>
      </c>
      <c r="R44" s="68" t="s">
        <v>346</v>
      </c>
      <c r="S44" s="69" t="s">
        <v>336</v>
      </c>
      <c r="T44" s="65" t="s">
        <v>343</v>
      </c>
      <c r="U44" s="66" t="s">
        <v>344</v>
      </c>
      <c r="V44" s="67" t="s">
        <v>345</v>
      </c>
      <c r="W44" s="68" t="s">
        <v>346</v>
      </c>
      <c r="X44" s="69" t="s">
        <v>336</v>
      </c>
      <c r="Y44" s="65" t="s">
        <v>343</v>
      </c>
      <c r="Z44" s="66" t="s">
        <v>344</v>
      </c>
      <c r="AA44" s="67" t="s">
        <v>345</v>
      </c>
      <c r="AB44" s="68" t="s">
        <v>346</v>
      </c>
      <c r="AC44" s="69" t="s">
        <v>336</v>
      </c>
      <c r="AD44" s="65" t="s">
        <v>343</v>
      </c>
      <c r="AE44" s="66" t="s">
        <v>344</v>
      </c>
      <c r="AF44" s="67" t="s">
        <v>345</v>
      </c>
      <c r="AG44" s="68" t="s">
        <v>346</v>
      </c>
      <c r="AH44" s="69" t="s">
        <v>336</v>
      </c>
      <c r="AI44" s="89"/>
      <c r="AJ44" s="13" t="s">
        <v>358</v>
      </c>
      <c r="AK44" s="58">
        <f>Q53/AK43</f>
        <v>0.21707080029865575</v>
      </c>
      <c r="AL44" s="58">
        <f t="shared" ref="AL44:AO44" si="51">R53/AL43</f>
        <v>0.22050780070289633</v>
      </c>
      <c r="AM44" s="58">
        <f t="shared" si="51"/>
        <v>0.2083809316814903</v>
      </c>
      <c r="AN44" s="58">
        <f t="shared" si="51"/>
        <v>0.20223560312050076</v>
      </c>
      <c r="AO44" s="58">
        <f t="shared" si="51"/>
        <v>0.19659214439618364</v>
      </c>
    </row>
    <row r="45" spans="1:41">
      <c r="A45" s="4" t="s">
        <v>11</v>
      </c>
      <c r="B45" s="6">
        <v>1269742</v>
      </c>
      <c r="C45" s="2" t="s">
        <v>140</v>
      </c>
      <c r="D45" s="8">
        <v>28552</v>
      </c>
      <c r="E45" s="2" t="s">
        <v>141</v>
      </c>
      <c r="F45" s="147">
        <v>338</v>
      </c>
      <c r="G45" s="145" t="s">
        <v>142</v>
      </c>
      <c r="I45" s="113" t="s">
        <v>342</v>
      </c>
      <c r="J45" s="116">
        <f>$J$70</f>
        <v>749760</v>
      </c>
      <c r="K45" s="116">
        <f>$K$70</f>
        <v>3280200</v>
      </c>
      <c r="L45" s="116">
        <f>$L$70</f>
        <v>12729912.000000002</v>
      </c>
      <c r="M45" s="116">
        <f>$M$70</f>
        <v>23099904.000000004</v>
      </c>
      <c r="N45" s="116">
        <f>$N70</f>
        <v>39859776.000000007</v>
      </c>
      <c r="O45" s="102">
        <f>J45*$AL$25/$AK$25</f>
        <v>820406.4</v>
      </c>
      <c r="P45" s="102">
        <f t="shared" ref="P45:S45" si="52">K45*$AL$25/$AK$25</f>
        <v>3589278</v>
      </c>
      <c r="Q45" s="102">
        <f t="shared" si="52"/>
        <v>13929392.440563383</v>
      </c>
      <c r="R45" s="102">
        <f t="shared" si="52"/>
        <v>25276500.58816902</v>
      </c>
      <c r="S45" s="102">
        <f t="shared" si="52"/>
        <v>43615577.428732403</v>
      </c>
      <c r="T45" s="102">
        <f>J45*$AM$25/$AK$25</f>
        <v>890700.80000000016</v>
      </c>
      <c r="U45" s="102">
        <f>K45*$AM$25/$AK$25</f>
        <v>3896816.0000000005</v>
      </c>
      <c r="V45" s="102">
        <f>L45*$AM$25/$AK$25</f>
        <v>15122896.396619724</v>
      </c>
      <c r="W45" s="102">
        <f>M45*$AM$25/$AK$25</f>
        <v>27442252.150985923</v>
      </c>
      <c r="X45" s="102">
        <f>N45*$AM$25/$AK$25</f>
        <v>47352665.347605646</v>
      </c>
      <c r="Y45" s="102">
        <f>J45*$AN$25/$AK$25</f>
        <v>960995.2</v>
      </c>
      <c r="Z45" s="102">
        <f>K45*$AN$25/$AK$25</f>
        <v>4204354</v>
      </c>
      <c r="AA45" s="102">
        <f>L45*$AN$25/$AK$25</f>
        <v>16316400.352676058</v>
      </c>
      <c r="AB45" s="102">
        <f>M45*$AN$25/$AK$25</f>
        <v>29608003.713802822</v>
      </c>
      <c r="AC45" s="102">
        <f>N45*$AN$25/$AK$25</f>
        <v>51089753.266478881</v>
      </c>
      <c r="AD45" s="102">
        <f>J45*$AO$25/$AK$25</f>
        <v>1034974.4399362718</v>
      </c>
      <c r="AE45" s="102">
        <f>K45*$AO$25/$AK$25</f>
        <v>4528013.1747211879</v>
      </c>
      <c r="AF45" s="102">
        <f>L45*$AO$25/$AK$25</f>
        <v>17572467.913249608</v>
      </c>
      <c r="AG45" s="102">
        <f>M45*$AO$25/$AK$25</f>
        <v>31887284.204254221</v>
      </c>
      <c r="AH45" s="102">
        <f>N45*$AO$25/$AK$25</f>
        <v>55022739.732161291</v>
      </c>
      <c r="AI45" s="89"/>
      <c r="AJ45" s="13" t="s">
        <v>333</v>
      </c>
      <c r="AK45" s="9">
        <v>1180618</v>
      </c>
    </row>
    <row r="46" spans="1:41">
      <c r="A46" s="4" t="s">
        <v>15</v>
      </c>
      <c r="B46" s="6">
        <v>1507209</v>
      </c>
      <c r="C46" s="2" t="s">
        <v>143</v>
      </c>
      <c r="D46" s="8">
        <v>37033</v>
      </c>
      <c r="E46" s="2" t="s">
        <v>144</v>
      </c>
      <c r="F46" s="147">
        <v>408</v>
      </c>
      <c r="G46" s="145" t="s">
        <v>145</v>
      </c>
      <c r="I46" s="114" t="s">
        <v>333</v>
      </c>
      <c r="J46" s="116">
        <f>$J$71</f>
        <v>36240</v>
      </c>
      <c r="K46" s="116">
        <f>$K$71</f>
        <v>384888.00000000006</v>
      </c>
      <c r="L46" s="116">
        <f>$L$71</f>
        <v>2197727.9999999995</v>
      </c>
      <c r="M46" s="116">
        <f>$M$71</f>
        <v>984959.99999999977</v>
      </c>
      <c r="N46" s="116">
        <f>$N71</f>
        <v>3603815.9999999991</v>
      </c>
      <c r="O46" s="102">
        <f t="shared" ref="O46:O49" si="53">J46*$AL$25/$AK$25</f>
        <v>39654.726760563382</v>
      </c>
      <c r="P46" s="102">
        <f t="shared" ref="P46:P49" si="54">K46*$AL$25/$AK$25</f>
        <v>421154.20732394379</v>
      </c>
      <c r="Q46" s="102">
        <f t="shared" ref="Q46:Q49" si="55">L46*$AL$25/$AK$25</f>
        <v>2404809.6946478873</v>
      </c>
      <c r="R46" s="102">
        <f t="shared" ref="R46:R49" si="56">M46*$AL$25/$AK$25</f>
        <v>1077768.2028169013</v>
      </c>
      <c r="S46" s="102">
        <f t="shared" ref="S46:S49" si="57">N46*$AL$25/$AK$25</f>
        <v>3943386.8315492948</v>
      </c>
      <c r="T46" s="102">
        <f t="shared" ref="T46:T49" si="58">J46*$AM$25/$AK$25</f>
        <v>43052.439436619723</v>
      </c>
      <c r="U46" s="102">
        <f t="shared" ref="U46:U49" si="59">K46*$AM$25/$AK$25</f>
        <v>457239.71605633816</v>
      </c>
      <c r="V46" s="102">
        <f t="shared" ref="V46:V49" si="60">L46*$AM$25/$AK$25</f>
        <v>2610859.5921126762</v>
      </c>
      <c r="W46" s="102">
        <f t="shared" ref="W46:W49" si="61">M46*$AM$25/$AK$25</f>
        <v>1170113.9830985914</v>
      </c>
      <c r="X46" s="102">
        <f t="shared" ref="X46:X49" si="62">N46*$AM$25/$AK$25</f>
        <v>4281265.7307042247</v>
      </c>
      <c r="Y46" s="102">
        <f t="shared" ref="Y46:Y49" si="63">J46*$AN$25/$AK$25</f>
        <v>46450.152112676056</v>
      </c>
      <c r="Z46" s="102">
        <f t="shared" ref="Z46:Z49" si="64">K46*$AN$25/$AK$25</f>
        <v>493325.22478873248</v>
      </c>
      <c r="AA46" s="102">
        <f t="shared" ref="AA46:AA49" si="65">L46*$AN$25/$AK$25</f>
        <v>2816909.4895774643</v>
      </c>
      <c r="AB46" s="102">
        <f t="shared" ref="AB46:AB49" si="66">M46*$AN$25/$AK$25</f>
        <v>1262459.7633802814</v>
      </c>
      <c r="AC46" s="102">
        <f t="shared" ref="AC46:AC49" si="67">N46*$AN$25/$AK$25</f>
        <v>4619144.6298591541</v>
      </c>
      <c r="AD46" s="102">
        <f t="shared" ref="AD46:AD49" si="68">J46*$AO$25/$AK$25</f>
        <v>50025.973249160379</v>
      </c>
      <c r="AE46" s="102">
        <f t="shared" ref="AE46:AE49" si="69">K46*$AO$25/$AK$25</f>
        <v>531302.33973297034</v>
      </c>
      <c r="AF46" s="102">
        <f t="shared" ref="AF46:AF49" si="70">L46*$AO$25/$AK$25</f>
        <v>3033760.5446172939</v>
      </c>
      <c r="AG46" s="102">
        <f t="shared" ref="AG46:AG49" si="71">M46*$AO$25/$AK$25</f>
        <v>1359646.3193016832</v>
      </c>
      <c r="AH46" s="102">
        <f t="shared" ref="AH46:AH49" si="72">N46*$AO$25/$AK$25</f>
        <v>4974735.1769011067</v>
      </c>
      <c r="AI46" s="89"/>
      <c r="AJ46" s="13" t="s">
        <v>358</v>
      </c>
      <c r="AK46" s="58">
        <f>Q54/AK45</f>
        <v>0.15262413413991652</v>
      </c>
    </row>
    <row r="47" spans="1:41">
      <c r="A47" s="4" t="s">
        <v>19</v>
      </c>
      <c r="B47" s="6">
        <v>1686987</v>
      </c>
      <c r="C47" s="2" t="s">
        <v>146</v>
      </c>
      <c r="D47" s="8">
        <v>41842</v>
      </c>
      <c r="E47" s="2" t="s">
        <v>147</v>
      </c>
      <c r="F47" s="147">
        <v>172</v>
      </c>
      <c r="G47" s="145" t="s">
        <v>148</v>
      </c>
      <c r="I47" s="113" t="s">
        <v>334</v>
      </c>
      <c r="J47" s="116">
        <f>$J$72</f>
        <v>53375.999999999993</v>
      </c>
      <c r="K47" s="116">
        <f>$K$72</f>
        <v>680063.99999999977</v>
      </c>
      <c r="L47" s="116">
        <f>$L$72</f>
        <v>0</v>
      </c>
      <c r="M47" s="116">
        <f>$M$72</f>
        <v>0</v>
      </c>
      <c r="N47" s="116">
        <f>$N72</f>
        <v>733439.99999999977</v>
      </c>
      <c r="O47" s="102">
        <f t="shared" si="53"/>
        <v>58405.37239436619</v>
      </c>
      <c r="P47" s="102">
        <f t="shared" si="54"/>
        <v>744143.26985915471</v>
      </c>
      <c r="Q47" s="102">
        <f t="shared" si="55"/>
        <v>0</v>
      </c>
      <c r="R47" s="102">
        <f t="shared" si="56"/>
        <v>0</v>
      </c>
      <c r="S47" s="102">
        <f t="shared" si="57"/>
        <v>802548.6422535209</v>
      </c>
      <c r="T47" s="102">
        <f t="shared" si="58"/>
        <v>63409.685633802816</v>
      </c>
      <c r="U47" s="102">
        <f t="shared" si="59"/>
        <v>807903.26084507024</v>
      </c>
      <c r="V47" s="102">
        <f t="shared" si="60"/>
        <v>0</v>
      </c>
      <c r="W47" s="102">
        <f t="shared" si="61"/>
        <v>0</v>
      </c>
      <c r="X47" s="102">
        <f t="shared" si="62"/>
        <v>871312.94647887314</v>
      </c>
      <c r="Y47" s="102">
        <f t="shared" si="63"/>
        <v>68413.998873239427</v>
      </c>
      <c r="Z47" s="102">
        <f t="shared" si="64"/>
        <v>871663.25183098554</v>
      </c>
      <c r="AA47" s="102">
        <f t="shared" si="65"/>
        <v>0</v>
      </c>
      <c r="AB47" s="102">
        <f t="shared" si="66"/>
        <v>0</v>
      </c>
      <c r="AC47" s="102">
        <f t="shared" si="67"/>
        <v>940077.25070422504</v>
      </c>
      <c r="AD47" s="102">
        <f t="shared" si="68"/>
        <v>73680.638745783217</v>
      </c>
      <c r="AE47" s="102">
        <f t="shared" si="69"/>
        <v>938765.54833656154</v>
      </c>
      <c r="AF47" s="102">
        <f t="shared" si="70"/>
        <v>0</v>
      </c>
      <c r="AG47" s="102">
        <f t="shared" si="71"/>
        <v>0</v>
      </c>
      <c r="AH47" s="102">
        <f t="shared" si="72"/>
        <v>1012446.1870823448</v>
      </c>
    </row>
    <row r="48" spans="1:41">
      <c r="A48" s="4" t="s">
        <v>23</v>
      </c>
      <c r="B48" s="6">
        <v>1606805</v>
      </c>
      <c r="C48" s="2" t="s">
        <v>149</v>
      </c>
      <c r="D48" s="8">
        <v>41688</v>
      </c>
      <c r="E48" s="2" t="s">
        <v>150</v>
      </c>
      <c r="F48" s="147">
        <v>168</v>
      </c>
      <c r="G48" s="145" t="s">
        <v>151</v>
      </c>
      <c r="I48" s="113" t="s">
        <v>335</v>
      </c>
      <c r="J48" s="116">
        <f>$J$73</f>
        <v>755520.00000000035</v>
      </c>
      <c r="K48" s="116">
        <f>$K$73</f>
        <v>0</v>
      </c>
      <c r="L48" s="116">
        <f>$L$73</f>
        <v>0</v>
      </c>
      <c r="M48" s="116">
        <f>$M$73</f>
        <v>0</v>
      </c>
      <c r="N48" s="116">
        <f>$N73</f>
        <v>755520.00000000035</v>
      </c>
      <c r="O48" s="102">
        <f t="shared" si="53"/>
        <v>826709.1380281694</v>
      </c>
      <c r="P48" s="102">
        <f t="shared" si="54"/>
        <v>0</v>
      </c>
      <c r="Q48" s="102">
        <f t="shared" si="55"/>
        <v>0</v>
      </c>
      <c r="R48" s="102">
        <f t="shared" si="56"/>
        <v>0</v>
      </c>
      <c r="S48" s="102">
        <f t="shared" si="57"/>
        <v>826709.1380281694</v>
      </c>
      <c r="T48" s="102">
        <f t="shared" si="58"/>
        <v>897543.57183098642</v>
      </c>
      <c r="U48" s="102">
        <f t="shared" si="59"/>
        <v>0</v>
      </c>
      <c r="V48" s="102">
        <f t="shared" si="60"/>
        <v>0</v>
      </c>
      <c r="W48" s="102">
        <f t="shared" si="61"/>
        <v>0</v>
      </c>
      <c r="X48" s="102">
        <f t="shared" si="62"/>
        <v>897543.57183098642</v>
      </c>
      <c r="Y48" s="102">
        <f t="shared" si="63"/>
        <v>968378.00563380332</v>
      </c>
      <c r="Z48" s="102">
        <f t="shared" si="64"/>
        <v>0</v>
      </c>
      <c r="AA48" s="102">
        <f t="shared" si="65"/>
        <v>0</v>
      </c>
      <c r="AB48" s="102">
        <f t="shared" si="66"/>
        <v>0</v>
      </c>
      <c r="AC48" s="102">
        <f t="shared" si="67"/>
        <v>968378.00563380332</v>
      </c>
      <c r="AD48" s="102">
        <f t="shared" si="68"/>
        <v>1042925.5880023638</v>
      </c>
      <c r="AE48" s="102">
        <f t="shared" si="69"/>
        <v>0</v>
      </c>
      <c r="AF48" s="102">
        <f t="shared" si="70"/>
        <v>0</v>
      </c>
      <c r="AG48" s="102">
        <f t="shared" si="71"/>
        <v>0</v>
      </c>
      <c r="AH48" s="102">
        <f t="shared" si="72"/>
        <v>1042925.5880023638</v>
      </c>
      <c r="AJ48" s="63" t="s">
        <v>381</v>
      </c>
    </row>
    <row r="49" spans="1:34" ht="13.5" thickBot="1">
      <c r="A49" s="4" t="s">
        <v>27</v>
      </c>
      <c r="B49" s="6">
        <v>649449</v>
      </c>
      <c r="C49" s="2" t="s">
        <v>152</v>
      </c>
      <c r="D49" s="8">
        <v>17154</v>
      </c>
      <c r="E49" s="2" t="s">
        <v>153</v>
      </c>
      <c r="F49" s="147">
        <v>12</v>
      </c>
      <c r="G49" s="145" t="s">
        <v>123</v>
      </c>
      <c r="I49" s="115" t="s">
        <v>336</v>
      </c>
      <c r="J49" s="116">
        <f>$J$74</f>
        <v>1594896.0000000002</v>
      </c>
      <c r="K49" s="116">
        <f>$K$74</f>
        <v>4345151.9999999991</v>
      </c>
      <c r="L49" s="116">
        <f>$L$74</f>
        <v>14927640</v>
      </c>
      <c r="M49" s="116">
        <f>$M$74</f>
        <v>24084864.000000004</v>
      </c>
      <c r="N49" s="116">
        <f>$N74</f>
        <v>44952552</v>
      </c>
      <c r="O49" s="102">
        <f t="shared" si="53"/>
        <v>1745175.6371830988</v>
      </c>
      <c r="P49" s="102">
        <f t="shared" si="54"/>
        <v>4754575.477183097</v>
      </c>
      <c r="Q49" s="102">
        <f t="shared" si="55"/>
        <v>16334202.135211268</v>
      </c>
      <c r="R49" s="102">
        <f t="shared" si="56"/>
        <v>26354268.790985923</v>
      </c>
      <c r="S49" s="102">
        <f t="shared" si="57"/>
        <v>49188222.04056339</v>
      </c>
      <c r="T49" s="102">
        <f t="shared" si="58"/>
        <v>1894706.496901409</v>
      </c>
      <c r="U49" s="102">
        <f t="shared" si="59"/>
        <v>5161958.9769014083</v>
      </c>
      <c r="V49" s="102">
        <f t="shared" si="60"/>
        <v>17733755.988732398</v>
      </c>
      <c r="W49" s="102">
        <f t="shared" si="61"/>
        <v>28612366.134084515</v>
      </c>
      <c r="X49" s="102">
        <f t="shared" si="62"/>
        <v>53402787.596619725</v>
      </c>
      <c r="Y49" s="102">
        <f t="shared" si="63"/>
        <v>2044237.3566197187</v>
      </c>
      <c r="Z49" s="102">
        <f t="shared" si="64"/>
        <v>5569342.4766197167</v>
      </c>
      <c r="AA49" s="102">
        <f t="shared" si="65"/>
        <v>19133309.842253521</v>
      </c>
      <c r="AB49" s="102">
        <f t="shared" si="66"/>
        <v>30870463.4771831</v>
      </c>
      <c r="AC49" s="102">
        <f t="shared" si="67"/>
        <v>57617353.152676053</v>
      </c>
      <c r="AD49" s="102">
        <f t="shared" si="68"/>
        <v>2201606.6399335787</v>
      </c>
      <c r="AE49" s="102">
        <f t="shared" si="69"/>
        <v>5998081.0627907189</v>
      </c>
      <c r="AF49" s="102">
        <f t="shared" si="70"/>
        <v>20606228.4578669</v>
      </c>
      <c r="AG49" s="102">
        <f t="shared" si="71"/>
        <v>33246930.523555905</v>
      </c>
      <c r="AH49" s="102">
        <f t="shared" si="72"/>
        <v>62052846.684147097</v>
      </c>
    </row>
    <row r="50" spans="1:34">
      <c r="A50" s="4" t="s">
        <v>31</v>
      </c>
      <c r="B50" s="6">
        <v>1601012</v>
      </c>
      <c r="C50" s="2" t="s">
        <v>154</v>
      </c>
      <c r="D50" s="8">
        <v>46290</v>
      </c>
      <c r="E50" s="2" t="s">
        <v>155</v>
      </c>
      <c r="F50" s="147">
        <v>33</v>
      </c>
      <c r="G50" s="145" t="s">
        <v>126</v>
      </c>
      <c r="N50" s="54"/>
    </row>
    <row r="51" spans="1:34" ht="13.5" thickBot="1">
      <c r="A51" s="4" t="s">
        <v>35</v>
      </c>
      <c r="B51" s="6">
        <v>737077</v>
      </c>
      <c r="C51" s="2" t="s">
        <v>156</v>
      </c>
      <c r="D51" s="8">
        <v>22704</v>
      </c>
      <c r="E51" s="2" t="s">
        <v>157</v>
      </c>
      <c r="F51" s="147">
        <v>56</v>
      </c>
      <c r="G51" s="145" t="s">
        <v>129</v>
      </c>
      <c r="I51" s="13" t="s">
        <v>364</v>
      </c>
      <c r="J51" s="134"/>
      <c r="K51" s="134"/>
      <c r="L51" s="134"/>
      <c r="M51" s="134"/>
      <c r="N51" s="134"/>
      <c r="P51" s="13" t="s">
        <v>366</v>
      </c>
      <c r="Q51" s="123"/>
      <c r="R51" s="123"/>
      <c r="S51" s="123"/>
      <c r="T51" s="123"/>
      <c r="U51" s="123"/>
    </row>
    <row r="52" spans="1:34">
      <c r="A52" s="4" t="s">
        <v>39</v>
      </c>
      <c r="B52" s="6">
        <v>910600</v>
      </c>
      <c r="C52" s="2" t="s">
        <v>158</v>
      </c>
      <c r="D52" s="8">
        <v>29909</v>
      </c>
      <c r="E52" s="2" t="s">
        <v>159</v>
      </c>
      <c r="F52" s="147">
        <v>12</v>
      </c>
      <c r="G52" s="145" t="s">
        <v>160</v>
      </c>
      <c r="I52" s="75"/>
      <c r="J52" s="110">
        <v>2011</v>
      </c>
      <c r="K52" s="111">
        <v>2020</v>
      </c>
      <c r="L52" s="111">
        <v>2030</v>
      </c>
      <c r="M52" s="111">
        <v>2040</v>
      </c>
      <c r="N52" s="109">
        <v>2050</v>
      </c>
      <c r="P52" s="119"/>
      <c r="Q52" s="111">
        <v>2011</v>
      </c>
      <c r="R52" s="111">
        <v>2020</v>
      </c>
      <c r="S52" s="111">
        <v>2030</v>
      </c>
      <c r="T52" s="111">
        <v>2040</v>
      </c>
      <c r="U52" s="109">
        <v>2050</v>
      </c>
    </row>
    <row r="53" spans="1:34">
      <c r="A53" s="4" t="s">
        <v>43</v>
      </c>
      <c r="B53" s="6">
        <v>972294</v>
      </c>
      <c r="C53" s="2" t="s">
        <v>161</v>
      </c>
      <c r="D53" s="8">
        <v>34732</v>
      </c>
      <c r="E53" s="2" t="s">
        <v>162</v>
      </c>
      <c r="F53" s="147">
        <v>7</v>
      </c>
      <c r="G53" s="145" t="s">
        <v>135</v>
      </c>
      <c r="I53" s="76" t="s">
        <v>342</v>
      </c>
      <c r="J53" s="104">
        <f>N45</f>
        <v>39859776.000000007</v>
      </c>
      <c r="K53" s="100">
        <f>S45</f>
        <v>43615577.428732403</v>
      </c>
      <c r="L53" s="100">
        <f>X45</f>
        <v>47352665.347605646</v>
      </c>
      <c r="M53" s="100">
        <f>AC45</f>
        <v>51089753.266478881</v>
      </c>
      <c r="N53" s="105">
        <f>AH45</f>
        <v>55022739.732161291</v>
      </c>
      <c r="P53" s="120" t="s">
        <v>342</v>
      </c>
      <c r="Q53" s="100">
        <f>J53/1.07</f>
        <v>37252127.102803744</v>
      </c>
      <c r="R53" s="100">
        <f t="shared" ref="R53:U53" si="73">K53/1.07</f>
        <v>40762221.896011591</v>
      </c>
      <c r="S53" s="100">
        <f t="shared" si="73"/>
        <v>44254827.427668825</v>
      </c>
      <c r="T53" s="100">
        <f t="shared" si="73"/>
        <v>47747432.959326051</v>
      </c>
      <c r="U53" s="105">
        <f t="shared" si="73"/>
        <v>51423121.245010547</v>
      </c>
    </row>
    <row r="54" spans="1:34">
      <c r="A54" s="4" t="s">
        <v>163</v>
      </c>
      <c r="B54" s="6">
        <v>3235619</v>
      </c>
      <c r="C54" s="2" t="s">
        <v>164</v>
      </c>
      <c r="D54" s="8">
        <v>102854</v>
      </c>
      <c r="E54" s="2" t="s">
        <v>165</v>
      </c>
      <c r="F54" s="147">
        <v>238</v>
      </c>
      <c r="G54" s="145" t="s">
        <v>166</v>
      </c>
      <c r="I54" s="77" t="s">
        <v>333</v>
      </c>
      <c r="J54" s="104">
        <f t="shared" ref="J54:J57" si="74">N46</f>
        <v>3603815.9999999991</v>
      </c>
      <c r="K54" s="100">
        <f t="shared" ref="K54:K57" si="75">S46</f>
        <v>3943386.8315492948</v>
      </c>
      <c r="L54" s="100">
        <f t="shared" ref="L54:L57" si="76">X46</f>
        <v>4281265.7307042247</v>
      </c>
      <c r="M54" s="100">
        <f t="shared" ref="M54:M57" si="77">AC46</f>
        <v>4619144.6298591541</v>
      </c>
      <c r="N54" s="105">
        <f t="shared" ref="N54:N57" si="78">AH46</f>
        <v>4974735.1769011067</v>
      </c>
      <c r="P54" s="121" t="s">
        <v>333</v>
      </c>
      <c r="Q54" s="100">
        <f>J54/20</f>
        <v>180190.79999999996</v>
      </c>
      <c r="R54" s="100">
        <f t="shared" ref="R54:U54" si="79">K54/20</f>
        <v>197169.34157746474</v>
      </c>
      <c r="S54" s="100">
        <f t="shared" si="79"/>
        <v>214063.28653521123</v>
      </c>
      <c r="T54" s="100">
        <f t="shared" si="79"/>
        <v>230957.23149295771</v>
      </c>
      <c r="U54" s="105">
        <f t="shared" si="79"/>
        <v>248736.75884505533</v>
      </c>
    </row>
    <row r="55" spans="1:34" ht="13.5" thickBot="1">
      <c r="A55" s="4" t="s">
        <v>11</v>
      </c>
      <c r="B55" s="6">
        <v>298560</v>
      </c>
      <c r="C55" s="2" t="s">
        <v>167</v>
      </c>
      <c r="D55" s="8">
        <v>7060</v>
      </c>
      <c r="E55" s="2" t="s">
        <v>168</v>
      </c>
      <c r="F55" s="147">
        <v>153</v>
      </c>
      <c r="G55" s="145" t="s">
        <v>169</v>
      </c>
      <c r="I55" s="76" t="s">
        <v>334</v>
      </c>
      <c r="J55" s="104">
        <f t="shared" si="74"/>
        <v>733439.99999999977</v>
      </c>
      <c r="K55" s="100">
        <f t="shared" si="75"/>
        <v>802548.6422535209</v>
      </c>
      <c r="L55" s="100">
        <f t="shared" si="76"/>
        <v>871312.94647887314</v>
      </c>
      <c r="M55" s="100">
        <f t="shared" si="77"/>
        <v>940077.25070422504</v>
      </c>
      <c r="N55" s="105">
        <f t="shared" si="78"/>
        <v>1012446.1870823448</v>
      </c>
      <c r="P55" s="122" t="s">
        <v>336</v>
      </c>
      <c r="Q55" s="107">
        <f>SUM(Q53:Q54)</f>
        <v>37432317.902803741</v>
      </c>
      <c r="R55" s="107">
        <f t="shared" ref="R55:U55" si="80">SUM(R53:R54)</f>
        <v>40959391.237589054</v>
      </c>
      <c r="S55" s="107">
        <f t="shared" si="80"/>
        <v>44468890.714204036</v>
      </c>
      <c r="T55" s="107">
        <f t="shared" si="80"/>
        <v>47978390.19081901</v>
      </c>
      <c r="U55" s="108">
        <f t="shared" si="80"/>
        <v>51671858.003855601</v>
      </c>
    </row>
    <row r="56" spans="1:34">
      <c r="A56" s="4" t="s">
        <v>15</v>
      </c>
      <c r="B56" s="6">
        <v>345282</v>
      </c>
      <c r="C56" s="2" t="s">
        <v>170</v>
      </c>
      <c r="D56" s="8">
        <v>8570</v>
      </c>
      <c r="E56" s="2" t="s">
        <v>171</v>
      </c>
      <c r="F56" s="147">
        <v>12</v>
      </c>
      <c r="G56" s="145" t="s">
        <v>172</v>
      </c>
      <c r="I56" s="76" t="s">
        <v>335</v>
      </c>
      <c r="J56" s="104">
        <f t="shared" si="74"/>
        <v>755520.00000000035</v>
      </c>
      <c r="K56" s="100">
        <f t="shared" si="75"/>
        <v>826709.1380281694</v>
      </c>
      <c r="L56" s="100">
        <f t="shared" si="76"/>
        <v>897543.57183098642</v>
      </c>
      <c r="M56" s="100">
        <f t="shared" si="77"/>
        <v>968378.00563380332</v>
      </c>
      <c r="N56" s="105">
        <f t="shared" si="78"/>
        <v>1042925.5880023638</v>
      </c>
      <c r="P56" s="118"/>
      <c r="Q56" s="117"/>
      <c r="R56" s="117"/>
      <c r="S56" s="117"/>
      <c r="T56" s="117"/>
      <c r="U56" s="117"/>
    </row>
    <row r="57" spans="1:34" ht="13.5" thickBot="1">
      <c r="A57" s="4" t="s">
        <v>19</v>
      </c>
      <c r="B57" s="6">
        <v>397867</v>
      </c>
      <c r="C57" s="2" t="s">
        <v>173</v>
      </c>
      <c r="D57" s="8">
        <v>10937</v>
      </c>
      <c r="E57" s="2" t="s">
        <v>174</v>
      </c>
      <c r="F57" s="147">
        <v>34</v>
      </c>
      <c r="G57" s="145" t="s">
        <v>175</v>
      </c>
      <c r="I57" s="78" t="s">
        <v>336</v>
      </c>
      <c r="J57" s="104">
        <f t="shared" si="74"/>
        <v>44952552</v>
      </c>
      <c r="K57" s="100">
        <f t="shared" si="75"/>
        <v>49188222.04056339</v>
      </c>
      <c r="L57" s="100">
        <f t="shared" si="76"/>
        <v>53402787.596619725</v>
      </c>
      <c r="M57" s="100">
        <f t="shared" si="77"/>
        <v>57617353.152676053</v>
      </c>
      <c r="N57" s="105">
        <f t="shared" si="78"/>
        <v>62052846.684147097</v>
      </c>
      <c r="P57" s="88"/>
      <c r="Q57" s="117"/>
      <c r="R57" s="117"/>
      <c r="S57" s="117"/>
      <c r="T57" s="117"/>
      <c r="U57" s="117"/>
    </row>
    <row r="58" spans="1:34" ht="13.5" thickBot="1">
      <c r="A58" s="13" t="s">
        <v>361</v>
      </c>
      <c r="B58" s="134">
        <v>2011</v>
      </c>
      <c r="C58" s="134"/>
      <c r="D58" s="134"/>
      <c r="E58" s="134"/>
      <c r="F58" s="134"/>
      <c r="G58" s="145" t="s">
        <v>160</v>
      </c>
      <c r="I58" s="88"/>
      <c r="J58" s="117"/>
      <c r="K58" s="117"/>
      <c r="L58" s="117"/>
      <c r="M58" s="117"/>
      <c r="N58" s="117"/>
    </row>
    <row r="59" spans="1:34">
      <c r="A59" s="75"/>
      <c r="B59" s="103" t="s">
        <v>343</v>
      </c>
      <c r="C59" s="80" t="s">
        <v>344</v>
      </c>
      <c r="D59" s="81" t="s">
        <v>345</v>
      </c>
      <c r="E59" s="82" t="s">
        <v>346</v>
      </c>
      <c r="F59" s="148" t="s">
        <v>336</v>
      </c>
      <c r="G59" s="145" t="s">
        <v>180</v>
      </c>
      <c r="I59" s="62" t="s">
        <v>359</v>
      </c>
    </row>
    <row r="60" spans="1:34" ht="13.5" thickBot="1">
      <c r="A60" s="76" t="s">
        <v>342</v>
      </c>
      <c r="B60" s="104">
        <f>B52*$AK$25*1</f>
        <v>13545175000</v>
      </c>
      <c r="C60" s="100" t="e">
        <f>C52*$AK$25*3.5</f>
        <v>#VALUE!</v>
      </c>
      <c r="D60" s="100">
        <f>D52*$AK$25*6.5</f>
        <v>2891826437.5</v>
      </c>
      <c r="E60" s="100" t="e">
        <f>E52*$AK$25*12</f>
        <v>#VALUE!</v>
      </c>
      <c r="F60" s="149" t="e">
        <f>SUM(B60:E60)</f>
        <v>#VALUE!</v>
      </c>
      <c r="G60" s="145" t="s">
        <v>180</v>
      </c>
      <c r="I60" s="13" t="s">
        <v>360</v>
      </c>
      <c r="J60" s="134">
        <v>2011</v>
      </c>
      <c r="K60" s="134"/>
      <c r="L60" s="134"/>
      <c r="M60" s="134"/>
      <c r="N60" s="134"/>
      <c r="O60" s="134">
        <v>2020</v>
      </c>
      <c r="P60" s="134"/>
      <c r="Q60" s="134"/>
      <c r="R60" s="134"/>
      <c r="S60" s="134"/>
      <c r="T60" s="134">
        <v>2030</v>
      </c>
      <c r="U60" s="134"/>
      <c r="V60" s="134"/>
      <c r="W60" s="134"/>
      <c r="X60" s="134"/>
      <c r="Y60" s="134">
        <v>2040</v>
      </c>
      <c r="Z60" s="134"/>
      <c r="AA60" s="134"/>
      <c r="AB60" s="134"/>
      <c r="AC60" s="134"/>
      <c r="AD60" s="134">
        <v>2050</v>
      </c>
      <c r="AE60" s="134"/>
      <c r="AF60" s="134"/>
      <c r="AG60" s="134"/>
      <c r="AH60" s="134"/>
    </row>
    <row r="61" spans="1:34">
      <c r="A61" s="77" t="s">
        <v>333</v>
      </c>
      <c r="B61" s="104">
        <f t="shared" ref="B61:B64" si="81">B53*$AK$25*1</f>
        <v>14462873250</v>
      </c>
      <c r="C61" s="100" t="e">
        <f t="shared" ref="C61:C64" si="82">C53*$AK$25*3.5</f>
        <v>#VALUE!</v>
      </c>
      <c r="D61" s="100">
        <f t="shared" ref="D61:D64" si="83">D53*$AK$25*6.5</f>
        <v>3358150250</v>
      </c>
      <c r="E61" s="100" t="e">
        <f t="shared" ref="E61:E64" si="84">E53*$AK$25*12</f>
        <v>#VALUE!</v>
      </c>
      <c r="F61" s="149" t="e">
        <f t="shared" ref="F61:F64" si="85">SUM(B61:E61)</f>
        <v>#VALUE!</v>
      </c>
      <c r="G61" s="145" t="s">
        <v>180</v>
      </c>
      <c r="I61" s="75"/>
      <c r="J61" s="79" t="s">
        <v>343</v>
      </c>
      <c r="K61" s="80" t="s">
        <v>344</v>
      </c>
      <c r="L61" s="81" t="s">
        <v>345</v>
      </c>
      <c r="M61" s="82" t="s">
        <v>346</v>
      </c>
      <c r="N61" s="83" t="s">
        <v>336</v>
      </c>
      <c r="O61" s="65" t="s">
        <v>343</v>
      </c>
      <c r="P61" s="66" t="s">
        <v>344</v>
      </c>
      <c r="Q61" s="67" t="s">
        <v>345</v>
      </c>
      <c r="R61" s="68" t="s">
        <v>346</v>
      </c>
      <c r="S61" s="69" t="s">
        <v>336</v>
      </c>
      <c r="T61" s="65" t="s">
        <v>343</v>
      </c>
      <c r="U61" s="66" t="s">
        <v>344</v>
      </c>
      <c r="V61" s="67" t="s">
        <v>345</v>
      </c>
      <c r="W61" s="68" t="s">
        <v>346</v>
      </c>
      <c r="X61" s="69" t="s">
        <v>336</v>
      </c>
      <c r="Y61" s="65" t="s">
        <v>343</v>
      </c>
      <c r="Z61" s="66" t="s">
        <v>344</v>
      </c>
      <c r="AA61" s="67" t="s">
        <v>345</v>
      </c>
      <c r="AB61" s="68" t="s">
        <v>346</v>
      </c>
      <c r="AC61" s="69" t="s">
        <v>336</v>
      </c>
      <c r="AD61" s="65" t="s">
        <v>343</v>
      </c>
      <c r="AE61" s="66" t="s">
        <v>344</v>
      </c>
      <c r="AF61" s="67" t="s">
        <v>345</v>
      </c>
      <c r="AG61" s="68" t="s">
        <v>346</v>
      </c>
      <c r="AH61" s="69" t="s">
        <v>336</v>
      </c>
    </row>
    <row r="62" spans="1:34">
      <c r="A62" s="76" t="s">
        <v>334</v>
      </c>
      <c r="B62" s="104">
        <f t="shared" si="81"/>
        <v>48129832625</v>
      </c>
      <c r="C62" s="100" t="e">
        <f t="shared" si="82"/>
        <v>#VALUE!</v>
      </c>
      <c r="D62" s="100">
        <f t="shared" si="83"/>
        <v>9944696125</v>
      </c>
      <c r="E62" s="100" t="e">
        <f t="shared" si="84"/>
        <v>#VALUE!</v>
      </c>
      <c r="F62" s="149" t="e">
        <f t="shared" si="85"/>
        <v>#VALUE!</v>
      </c>
      <c r="G62" s="145" t="s">
        <v>186</v>
      </c>
      <c r="I62" s="76" t="s">
        <v>342</v>
      </c>
      <c r="J62" s="90">
        <v>0.10500840336134454</v>
      </c>
      <c r="K62" s="90">
        <v>0.13126050420168067</v>
      </c>
      <c r="L62" s="90">
        <v>0.27429243697478994</v>
      </c>
      <c r="M62" s="90">
        <v>0.26960672268907565</v>
      </c>
      <c r="N62" s="91">
        <v>0.7801680672268908</v>
      </c>
      <c r="O62" s="70">
        <f t="shared" ref="O62:R66" si="86">J62/$N62*$S62</f>
        <v>0.10231080489067666</v>
      </c>
      <c r="P62" s="64">
        <f t="shared" si="86"/>
        <v>0.12788850611334582</v>
      </c>
      <c r="Q62" s="64">
        <f t="shared" si="86"/>
        <v>0.26724604035496147</v>
      </c>
      <c r="R62" s="64">
        <f t="shared" si="86"/>
        <v>0.26268069906118419</v>
      </c>
      <c r="S62" s="71">
        <f>($AH62-$N62)*1/4+$N62</f>
        <v>0.76012605042016812</v>
      </c>
      <c r="T62" s="70">
        <f t="shared" ref="T62:U66" si="87">J62/$N62*$X62</f>
        <v>9.961320642000876E-2</v>
      </c>
      <c r="U62" s="64">
        <f t="shared" si="87"/>
        <v>0.12451650802501094</v>
      </c>
      <c r="V62" s="64">
        <f t="shared" ref="V62:W66" si="88">L62/$N62*$X62</f>
        <v>0.26019964373513299</v>
      </c>
      <c r="W62" s="64">
        <f t="shared" si="88"/>
        <v>0.25575467543329267</v>
      </c>
      <c r="X62" s="71">
        <f>($AH62-$N62)*2/4+$N62</f>
        <v>0.74008403361344532</v>
      </c>
      <c r="Y62" s="70">
        <f t="shared" ref="Y62:AB66" si="89">J62/$N62*$AC62</f>
        <v>9.6915607949340871E-2</v>
      </c>
      <c r="Z62" s="64">
        <f t="shared" si="89"/>
        <v>0.12114450993667608</v>
      </c>
      <c r="AA62" s="64">
        <f t="shared" si="89"/>
        <v>0.25315324711530451</v>
      </c>
      <c r="AB62" s="64">
        <f t="shared" si="89"/>
        <v>0.24882865180540117</v>
      </c>
      <c r="AC62" s="71">
        <f>($AH62-$N62)*3/4+$N62</f>
        <v>0.72004201680672264</v>
      </c>
      <c r="AD62" s="94">
        <f t="shared" ref="AD62:AG66" si="90">J62/$N62*$AH62</f>
        <v>9.4218009478672982E-2</v>
      </c>
      <c r="AE62" s="95">
        <f t="shared" si="90"/>
        <v>0.11777251184834121</v>
      </c>
      <c r="AF62" s="95">
        <f t="shared" si="90"/>
        <v>0.24610685049547609</v>
      </c>
      <c r="AG62" s="95">
        <f t="shared" si="90"/>
        <v>0.24190262817750968</v>
      </c>
      <c r="AH62" s="96">
        <v>0.7</v>
      </c>
    </row>
    <row r="63" spans="1:34">
      <c r="A63" s="76" t="s">
        <v>335</v>
      </c>
      <c r="B63" s="104">
        <f t="shared" si="81"/>
        <v>4441080000</v>
      </c>
      <c r="C63" s="100" t="e">
        <f t="shared" si="82"/>
        <v>#VALUE!</v>
      </c>
      <c r="D63" s="100">
        <f t="shared" si="83"/>
        <v>682613750</v>
      </c>
      <c r="E63" s="100" t="e">
        <f t="shared" si="84"/>
        <v>#VALUE!</v>
      </c>
      <c r="F63" s="149" t="e">
        <f t="shared" si="85"/>
        <v>#VALUE!</v>
      </c>
      <c r="G63" s="145" t="s">
        <v>180</v>
      </c>
      <c r="I63" s="77" t="s">
        <v>333</v>
      </c>
      <c r="J63" s="90">
        <v>5.0756302521008404E-3</v>
      </c>
      <c r="K63" s="90">
        <v>1.540168067226891E-2</v>
      </c>
      <c r="L63" s="90">
        <v>4.7354621848739488E-2</v>
      </c>
      <c r="M63" s="90">
        <v>1.1495798319327729E-2</v>
      </c>
      <c r="N63" s="91">
        <v>7.9327731092436959E-2</v>
      </c>
      <c r="O63" s="70">
        <f t="shared" si="86"/>
        <v>5.4062989602620716E-3</v>
      </c>
      <c r="P63" s="64">
        <f t="shared" si="86"/>
        <v>1.6405074063523716E-2</v>
      </c>
      <c r="Q63" s="64">
        <f t="shared" si="86"/>
        <v>5.0439695200113939E-2</v>
      </c>
      <c r="R63" s="64">
        <f t="shared" si="86"/>
        <v>1.2244730095427998E-2</v>
      </c>
      <c r="S63" s="71">
        <f>($AH63-$N63)*1/4+$N63</f>
        <v>8.4495798319327714E-2</v>
      </c>
      <c r="T63" s="70">
        <f t="shared" si="87"/>
        <v>5.7369676684233028E-3</v>
      </c>
      <c r="U63" s="64">
        <f t="shared" si="87"/>
        <v>1.7408467454778528E-2</v>
      </c>
      <c r="V63" s="64">
        <f t="shared" si="88"/>
        <v>5.352476855148839E-2</v>
      </c>
      <c r="W63" s="64">
        <f t="shared" si="88"/>
        <v>1.2993661871528272E-2</v>
      </c>
      <c r="X63" s="71">
        <f>($AH63-$N63)*2/4+$N63</f>
        <v>8.9663865546218482E-2</v>
      </c>
      <c r="Y63" s="70">
        <f t="shared" si="89"/>
        <v>6.0676363765845339E-3</v>
      </c>
      <c r="Z63" s="64">
        <f t="shared" si="89"/>
        <v>1.8411860846033336E-2</v>
      </c>
      <c r="AA63" s="64">
        <f t="shared" si="89"/>
        <v>5.6609841902862848E-2</v>
      </c>
      <c r="AB63" s="64">
        <f t="shared" si="89"/>
        <v>1.3742593647628544E-2</v>
      </c>
      <c r="AC63" s="71">
        <f>($AH63-$N63)*3/4+$N63</f>
        <v>9.4831932773109251E-2</v>
      </c>
      <c r="AD63" s="94">
        <f t="shared" si="90"/>
        <v>6.3983050847457651E-3</v>
      </c>
      <c r="AE63" s="95">
        <f t="shared" si="90"/>
        <v>1.9415254237288144E-2</v>
      </c>
      <c r="AF63" s="95">
        <f t="shared" si="90"/>
        <v>5.9694915254237292E-2</v>
      </c>
      <c r="AG63" s="95">
        <f t="shared" si="90"/>
        <v>1.4491525423728814E-2</v>
      </c>
      <c r="AH63" s="96">
        <v>0.1</v>
      </c>
    </row>
    <row r="64" spans="1:34" ht="13.5" thickBot="1">
      <c r="A64" s="78" t="s">
        <v>336</v>
      </c>
      <c r="B64" s="106">
        <f t="shared" si="81"/>
        <v>5136069750</v>
      </c>
      <c r="C64" s="107" t="e">
        <f t="shared" si="82"/>
        <v>#VALUE!</v>
      </c>
      <c r="D64" s="107">
        <f t="shared" si="83"/>
        <v>828611875</v>
      </c>
      <c r="E64" s="107" t="e">
        <f t="shared" si="84"/>
        <v>#VALUE!</v>
      </c>
      <c r="F64" s="150" t="e">
        <f t="shared" si="85"/>
        <v>#VALUE!</v>
      </c>
      <c r="G64" s="145" t="s">
        <v>191</v>
      </c>
      <c r="I64" s="76" t="s">
        <v>334</v>
      </c>
      <c r="J64" s="90">
        <v>7.4756302521008389E-3</v>
      </c>
      <c r="K64" s="90">
        <v>2.7213445378151253E-2</v>
      </c>
      <c r="L64" s="90">
        <v>0</v>
      </c>
      <c r="M64" s="90">
        <v>0</v>
      </c>
      <c r="N64" s="91">
        <v>3.4689075630252093E-2</v>
      </c>
      <c r="O64" s="70">
        <f t="shared" si="86"/>
        <v>8.3005211386880315E-3</v>
      </c>
      <c r="P64" s="64">
        <f t="shared" si="86"/>
        <v>3.0216285584001034E-2</v>
      </c>
      <c r="Q64" s="64">
        <f t="shared" si="86"/>
        <v>0</v>
      </c>
      <c r="R64" s="64">
        <f t="shared" si="86"/>
        <v>0</v>
      </c>
      <c r="S64" s="71">
        <f>($AH64-$N64)*1/4+$N64</f>
        <v>3.8516806722689069E-2</v>
      </c>
      <c r="T64" s="70">
        <f t="shared" si="87"/>
        <v>9.1254120252752275E-3</v>
      </c>
      <c r="U64" s="64">
        <f t="shared" si="87"/>
        <v>3.3219125789850819E-2</v>
      </c>
      <c r="V64" s="64">
        <f t="shared" si="88"/>
        <v>0</v>
      </c>
      <c r="W64" s="64">
        <f t="shared" si="88"/>
        <v>0</v>
      </c>
      <c r="X64" s="71">
        <f>($AH64-$N64)*2/4+$N64</f>
        <v>4.2344537815126052E-2</v>
      </c>
      <c r="Y64" s="70">
        <f t="shared" si="89"/>
        <v>9.9503029118624201E-3</v>
      </c>
      <c r="Z64" s="64">
        <f t="shared" si="89"/>
        <v>3.62219659957006E-2</v>
      </c>
      <c r="AA64" s="64">
        <f t="shared" si="89"/>
        <v>0</v>
      </c>
      <c r="AB64" s="64">
        <f t="shared" si="89"/>
        <v>0</v>
      </c>
      <c r="AC64" s="71">
        <f>($AH64-$N64)*3/4+$N64</f>
        <v>4.6172268907563027E-2</v>
      </c>
      <c r="AD64" s="94">
        <f t="shared" si="90"/>
        <v>1.0775193798449614E-2</v>
      </c>
      <c r="AE64" s="95">
        <f t="shared" si="90"/>
        <v>3.9224806201550388E-2</v>
      </c>
      <c r="AF64" s="95">
        <f t="shared" si="90"/>
        <v>0</v>
      </c>
      <c r="AG64" s="95">
        <f t="shared" si="90"/>
        <v>0</v>
      </c>
      <c r="AH64" s="96">
        <v>0.05</v>
      </c>
    </row>
    <row r="65" spans="1:36">
      <c r="A65" s="4" t="s">
        <v>23</v>
      </c>
      <c r="B65" s="6">
        <v>412799</v>
      </c>
      <c r="C65" s="2" t="s">
        <v>176</v>
      </c>
      <c r="D65" s="8">
        <v>10623</v>
      </c>
      <c r="E65" s="2" t="s">
        <v>177</v>
      </c>
      <c r="F65" s="147">
        <v>11</v>
      </c>
      <c r="G65" s="145" t="s">
        <v>73</v>
      </c>
      <c r="I65" s="76" t="s">
        <v>335</v>
      </c>
      <c r="J65" s="90">
        <v>0.10581512605042021</v>
      </c>
      <c r="K65" s="90">
        <v>0</v>
      </c>
      <c r="L65" s="90">
        <v>0</v>
      </c>
      <c r="M65" s="90">
        <v>0</v>
      </c>
      <c r="N65" s="91">
        <v>0.10581512605042021</v>
      </c>
      <c r="O65" s="70">
        <f t="shared" si="86"/>
        <v>0.11686134453781516</v>
      </c>
      <c r="P65" s="64">
        <f t="shared" si="86"/>
        <v>0</v>
      </c>
      <c r="Q65" s="64">
        <f t="shared" si="86"/>
        <v>0</v>
      </c>
      <c r="R65" s="64">
        <f t="shared" si="86"/>
        <v>0</v>
      </c>
      <c r="S65" s="71">
        <f>($AH65-$N65)*1/4+$N65</f>
        <v>0.11686134453781516</v>
      </c>
      <c r="T65" s="70">
        <f t="shared" si="87"/>
        <v>0.12790756302521011</v>
      </c>
      <c r="U65" s="64">
        <f t="shared" si="87"/>
        <v>0</v>
      </c>
      <c r="V65" s="64">
        <f t="shared" si="88"/>
        <v>0</v>
      </c>
      <c r="W65" s="64">
        <f t="shared" si="88"/>
        <v>0</v>
      </c>
      <c r="X65" s="71">
        <f>($AH65-$N65)*2/4+$N65</f>
        <v>0.12790756302521011</v>
      </c>
      <c r="Y65" s="70">
        <f t="shared" si="89"/>
        <v>0.13895378151260504</v>
      </c>
      <c r="Z65" s="64">
        <f t="shared" si="89"/>
        <v>0</v>
      </c>
      <c r="AA65" s="64">
        <f t="shared" si="89"/>
        <v>0</v>
      </c>
      <c r="AB65" s="64">
        <f t="shared" si="89"/>
        <v>0</v>
      </c>
      <c r="AC65" s="71">
        <f>($AH65-$N65)*3/4+$N65</f>
        <v>0.13895378151260504</v>
      </c>
      <c r="AD65" s="94">
        <f t="shared" si="90"/>
        <v>0.15</v>
      </c>
      <c r="AE65" s="95">
        <f t="shared" si="90"/>
        <v>0</v>
      </c>
      <c r="AF65" s="95">
        <f t="shared" si="90"/>
        <v>0</v>
      </c>
      <c r="AG65" s="95">
        <f t="shared" si="90"/>
        <v>0</v>
      </c>
      <c r="AH65" s="96">
        <v>0.15</v>
      </c>
    </row>
    <row r="66" spans="1:36" ht="13.5" thickBot="1">
      <c r="A66" s="4" t="s">
        <v>27</v>
      </c>
      <c r="B66" s="6">
        <v>164228</v>
      </c>
      <c r="C66" s="2" t="s">
        <v>178</v>
      </c>
      <c r="D66" s="8">
        <v>5261</v>
      </c>
      <c r="E66" s="2" t="s">
        <v>179</v>
      </c>
      <c r="F66" s="147">
        <v>0</v>
      </c>
      <c r="G66" s="145" t="s">
        <v>196</v>
      </c>
      <c r="I66" s="78" t="s">
        <v>336</v>
      </c>
      <c r="J66" s="92">
        <v>0.22337478991596643</v>
      </c>
      <c r="K66" s="92">
        <v>0.17387563025210082</v>
      </c>
      <c r="L66" s="92">
        <v>0.3216470588235294</v>
      </c>
      <c r="M66" s="92">
        <v>0.28110252100840338</v>
      </c>
      <c r="N66" s="93">
        <v>1</v>
      </c>
      <c r="O66" s="72">
        <f t="shared" si="86"/>
        <v>0.22337478991596643</v>
      </c>
      <c r="P66" s="73">
        <f t="shared" si="86"/>
        <v>0.17387563025210082</v>
      </c>
      <c r="Q66" s="73">
        <f t="shared" si="86"/>
        <v>0.3216470588235294</v>
      </c>
      <c r="R66" s="73">
        <f t="shared" si="86"/>
        <v>0.28110252100840338</v>
      </c>
      <c r="S66" s="74">
        <f>($AH66-$N66)*1/4+$N66</f>
        <v>1</v>
      </c>
      <c r="T66" s="72">
        <f t="shared" si="87"/>
        <v>0.22337478991596643</v>
      </c>
      <c r="U66" s="73">
        <f t="shared" si="87"/>
        <v>0.17387563025210082</v>
      </c>
      <c r="V66" s="73">
        <f t="shared" si="88"/>
        <v>0.3216470588235294</v>
      </c>
      <c r="W66" s="73">
        <f t="shared" si="88"/>
        <v>0.28110252100840338</v>
      </c>
      <c r="X66" s="74">
        <f>($AH66-$N66)*2/4+$N66</f>
        <v>1</v>
      </c>
      <c r="Y66" s="72">
        <f t="shared" si="89"/>
        <v>0.22337478991596643</v>
      </c>
      <c r="Z66" s="73">
        <f t="shared" si="89"/>
        <v>0.17387563025210082</v>
      </c>
      <c r="AA66" s="73">
        <f t="shared" si="89"/>
        <v>0.3216470588235294</v>
      </c>
      <c r="AB66" s="73">
        <f t="shared" si="89"/>
        <v>0.28110252100840338</v>
      </c>
      <c r="AC66" s="74">
        <f>($AH66-$N66)*3/4+$N66</f>
        <v>1</v>
      </c>
      <c r="AD66" s="97">
        <f t="shared" si="90"/>
        <v>0.22337478991596643</v>
      </c>
      <c r="AE66" s="98">
        <f t="shared" si="90"/>
        <v>0.17387563025210082</v>
      </c>
      <c r="AF66" s="98">
        <f t="shared" si="90"/>
        <v>0.3216470588235294</v>
      </c>
      <c r="AG66" s="98">
        <f t="shared" si="90"/>
        <v>0.28110252100840338</v>
      </c>
      <c r="AH66" s="99">
        <v>1</v>
      </c>
    </row>
    <row r="67" spans="1:36">
      <c r="A67" s="4" t="s">
        <v>31</v>
      </c>
      <c r="B67" s="6">
        <v>519555</v>
      </c>
      <c r="C67" s="2" t="s">
        <v>181</v>
      </c>
      <c r="D67" s="8">
        <v>14937</v>
      </c>
      <c r="E67" s="2" t="s">
        <v>182</v>
      </c>
      <c r="F67" s="147">
        <v>0</v>
      </c>
      <c r="G67" s="145" t="s">
        <v>199</v>
      </c>
    </row>
    <row r="68" spans="1:36" ht="13.5" thickBot="1">
      <c r="A68" s="4" t="s">
        <v>35</v>
      </c>
      <c r="B68" s="6">
        <v>231199</v>
      </c>
      <c r="C68" s="2" t="s">
        <v>45</v>
      </c>
      <c r="D68" s="8">
        <v>7299</v>
      </c>
      <c r="E68" s="2" t="s">
        <v>183</v>
      </c>
      <c r="F68" s="147">
        <v>0</v>
      </c>
      <c r="G68" s="145" t="s">
        <v>202</v>
      </c>
      <c r="I68" s="13" t="s">
        <v>361</v>
      </c>
      <c r="J68" s="134">
        <v>2011</v>
      </c>
      <c r="K68" s="134"/>
      <c r="L68" s="134"/>
      <c r="M68" s="134"/>
      <c r="N68" s="134"/>
      <c r="O68" s="134">
        <v>2020</v>
      </c>
      <c r="P68" s="134"/>
      <c r="Q68" s="134"/>
      <c r="R68" s="134"/>
      <c r="S68" s="134"/>
      <c r="T68" s="134">
        <v>2030</v>
      </c>
      <c r="U68" s="134"/>
      <c r="V68" s="134"/>
      <c r="W68" s="134"/>
      <c r="X68" s="134"/>
      <c r="Y68" s="134">
        <v>2040</v>
      </c>
      <c r="Z68" s="134"/>
      <c r="AA68" s="134"/>
      <c r="AB68" s="134"/>
      <c r="AC68" s="134"/>
      <c r="AD68" s="134">
        <v>2050</v>
      </c>
      <c r="AE68" s="134"/>
      <c r="AF68" s="134"/>
      <c r="AG68" s="134"/>
      <c r="AH68" s="134"/>
      <c r="AJ68" s="63" t="s">
        <v>382</v>
      </c>
    </row>
    <row r="69" spans="1:36">
      <c r="A69" s="4" t="s">
        <v>39</v>
      </c>
      <c r="B69" s="6">
        <v>341428</v>
      </c>
      <c r="C69" s="2" t="s">
        <v>184</v>
      </c>
      <c r="D69" s="8">
        <v>13758</v>
      </c>
      <c r="E69" s="2" t="s">
        <v>185</v>
      </c>
      <c r="F69" s="147">
        <v>28</v>
      </c>
      <c r="G69" s="145" t="s">
        <v>205</v>
      </c>
      <c r="I69" s="75"/>
      <c r="J69" s="103" t="s">
        <v>343</v>
      </c>
      <c r="K69" s="80" t="s">
        <v>344</v>
      </c>
      <c r="L69" s="81" t="s">
        <v>345</v>
      </c>
      <c r="M69" s="82" t="s">
        <v>346</v>
      </c>
      <c r="N69" s="83" t="s">
        <v>336</v>
      </c>
      <c r="O69" s="65" t="s">
        <v>343</v>
      </c>
      <c r="P69" s="66" t="s">
        <v>344</v>
      </c>
      <c r="Q69" s="67" t="s">
        <v>345</v>
      </c>
      <c r="R69" s="68" t="s">
        <v>346</v>
      </c>
      <c r="S69" s="69" t="s">
        <v>336</v>
      </c>
      <c r="T69" s="65" t="s">
        <v>343</v>
      </c>
      <c r="U69" s="66" t="s">
        <v>344</v>
      </c>
      <c r="V69" s="67" t="s">
        <v>345</v>
      </c>
      <c r="W69" s="68" t="s">
        <v>346</v>
      </c>
      <c r="X69" s="69" t="s">
        <v>336</v>
      </c>
      <c r="Y69" s="65" t="s">
        <v>343</v>
      </c>
      <c r="Z69" s="66" t="s">
        <v>344</v>
      </c>
      <c r="AA69" s="67" t="s">
        <v>345</v>
      </c>
      <c r="AB69" s="68" t="s">
        <v>346</v>
      </c>
      <c r="AC69" s="69" t="s">
        <v>336</v>
      </c>
      <c r="AD69" s="65" t="s">
        <v>343</v>
      </c>
      <c r="AE69" s="66" t="s">
        <v>344</v>
      </c>
      <c r="AF69" s="67" t="s">
        <v>345</v>
      </c>
      <c r="AG69" s="68" t="s">
        <v>346</v>
      </c>
      <c r="AH69" s="69" t="s">
        <v>336</v>
      </c>
    </row>
    <row r="70" spans="1:36">
      <c r="A70" s="4" t="s">
        <v>43</v>
      </c>
      <c r="B70" s="6">
        <v>524701</v>
      </c>
      <c r="C70" s="2" t="s">
        <v>173</v>
      </c>
      <c r="D70" s="8">
        <v>24409</v>
      </c>
      <c r="E70" s="2" t="s">
        <v>187</v>
      </c>
      <c r="F70" s="147">
        <v>0</v>
      </c>
      <c r="G70" s="145"/>
      <c r="I70" s="76" t="s">
        <v>342</v>
      </c>
      <c r="J70" s="104">
        <f>480*J62*$AK$25*1</f>
        <v>749760</v>
      </c>
      <c r="K70" s="100">
        <f>480*K62*$AK$25*3.5</f>
        <v>3280200</v>
      </c>
      <c r="L70" s="100">
        <f>480*L62*$AK$25*6.5</f>
        <v>12729912.000000002</v>
      </c>
      <c r="M70" s="100">
        <f>480*M62*$AK$25*12</f>
        <v>23099904.000000004</v>
      </c>
      <c r="N70" s="105">
        <f>SUM(J70:M70)</f>
        <v>39859776.000000007</v>
      </c>
      <c r="O70" s="104">
        <f>480*O62*$AL$25*1</f>
        <v>799330.68625592429</v>
      </c>
      <c r="P70" s="100">
        <f>480*P62*$AL$25*3.5</f>
        <v>3497071.7523696683</v>
      </c>
      <c r="Q70" s="100">
        <f>480*Q62*$AL$25*6.5</f>
        <v>13571555.290943136</v>
      </c>
      <c r="R70" s="100">
        <f>480*R62*$AL$25*12</f>
        <v>24627163.514679328</v>
      </c>
      <c r="S70" s="105">
        <f>SUM(O70:R70)</f>
        <v>42495121.244248055</v>
      </c>
      <c r="T70" s="104">
        <f>480*T62*$AM$25*1</f>
        <v>844937.7364928911</v>
      </c>
      <c r="U70" s="100">
        <f>480*U62*$AM$25*3.5</f>
        <v>3696602.5971563975</v>
      </c>
      <c r="V70" s="100">
        <f>480*V62*$AM$25*6.5</f>
        <v>14345901.3964918</v>
      </c>
      <c r="W70" s="100">
        <f>480*W62*$AM$25*12</f>
        <v>26032304.469380975</v>
      </c>
      <c r="X70" s="105">
        <f>SUM(T70:W70)</f>
        <v>44919746.199522063</v>
      </c>
      <c r="Y70" s="104">
        <f>480*Y62*$AN$25*1</f>
        <v>886933.15071090043</v>
      </c>
      <c r="Z70" s="100">
        <f>480*Z62*$AN$25*3.5</f>
        <v>3880332.534360189</v>
      </c>
      <c r="AA70" s="100">
        <f>480*AA62*$AN$25*6.5</f>
        <v>15058926.801153034</v>
      </c>
      <c r="AB70" s="100">
        <f>480*AB62*$AN$25*12</f>
        <v>27326171.889457069</v>
      </c>
      <c r="AC70" s="105">
        <f>SUM(Y70:AB70)</f>
        <v>47152364.375681192</v>
      </c>
      <c r="AD70" s="104">
        <f>480*AD62*$AO$25*1</f>
        <v>928623.12415652105</v>
      </c>
      <c r="AE70" s="100">
        <f>480*AE62*$AO$25*3.5</f>
        <v>4062726.1681847796</v>
      </c>
      <c r="AF70" s="100">
        <f>480*AF62*$AO$25*6.5</f>
        <v>15766766.234098366</v>
      </c>
      <c r="AG70" s="100">
        <f>480*AG62*$AO$25*12</f>
        <v>28610628.761464626</v>
      </c>
      <c r="AH70" s="105">
        <f>SUM(AD70:AG70)</f>
        <v>49368744.287904292</v>
      </c>
    </row>
    <row r="71" spans="1:36">
      <c r="A71" s="4" t="s">
        <v>188</v>
      </c>
      <c r="B71" s="6">
        <v>6915130</v>
      </c>
      <c r="C71" s="2" t="s">
        <v>189</v>
      </c>
      <c r="D71" s="8">
        <v>166735</v>
      </c>
      <c r="E71" s="2" t="s">
        <v>190</v>
      </c>
      <c r="F71" s="146">
        <v>1287</v>
      </c>
      <c r="G71" s="145" t="s">
        <v>205</v>
      </c>
      <c r="I71" s="77" t="s">
        <v>333</v>
      </c>
      <c r="J71" s="104">
        <f>480*J63*$AK$25*1</f>
        <v>36240</v>
      </c>
      <c r="K71" s="100">
        <f>480*K63*$AK$25*3.5</f>
        <v>384888.00000000006</v>
      </c>
      <c r="L71" s="100">
        <f>480*L63*$AK$25*6.5</f>
        <v>2197727.9999999995</v>
      </c>
      <c r="M71" s="100">
        <f>480*M63*$AK$25*12</f>
        <v>984959.99999999977</v>
      </c>
      <c r="N71" s="105">
        <f t="shared" ref="N71:N74" si="91">SUM(J71:M71)</f>
        <v>3603815.9999999991</v>
      </c>
      <c r="O71" s="104">
        <f>480*O63*$AL$25*1</f>
        <v>42238.164997612803</v>
      </c>
      <c r="P71" s="100">
        <f>480*P63*$AL$25*3.5</f>
        <v>448591.69011040829</v>
      </c>
      <c r="Q71" s="100">
        <f>480*Q63*$AL$25*6.5</f>
        <v>2561478.970305562</v>
      </c>
      <c r="R71" s="100">
        <f>480*R63*$AL$25*12</f>
        <v>1147982.9745046545</v>
      </c>
      <c r="S71" s="105">
        <f>SUM(O71:R71)</f>
        <v>4200291.7999182381</v>
      </c>
      <c r="T71" s="104">
        <f>480*T63*$AM$25*1</f>
        <v>48662.02635473862</v>
      </c>
      <c r="U71" s="100">
        <f>480*U63*$AM$25*3.5</f>
        <v>516816.50109333993</v>
      </c>
      <c r="V71" s="100">
        <f>480*V63*$AM$25*6.5</f>
        <v>2951045.7465934595</v>
      </c>
      <c r="W71" s="100">
        <f>480*W63*$AM$25*12</f>
        <v>1322575.8686082598</v>
      </c>
      <c r="X71" s="105">
        <f t="shared" ref="X71:X74" si="92">SUM(T71:W71)</f>
        <v>4839100.1426497977</v>
      </c>
      <c r="Y71" s="104">
        <f>480*Y63*$AN$25*1</f>
        <v>55528.59815588448</v>
      </c>
      <c r="Z71" s="100">
        <f>480*Z63*$AN$25*3.5</f>
        <v>589743.13154034398</v>
      </c>
      <c r="AA71" s="100">
        <f>480*AA63*$AN$25*6.5</f>
        <v>3367460.1260467893</v>
      </c>
      <c r="AB71" s="100">
        <f>480*AB63*$AN$25*12</f>
        <v>1509201.1048460254</v>
      </c>
      <c r="AC71" s="105">
        <f t="shared" ref="AC71:AC74" si="93">SUM(Y71:AB71)</f>
        <v>5521932.9605890438</v>
      </c>
      <c r="AD71" s="104">
        <f>480*AD63*$AO$25*1</f>
        <v>63062.402718750927</v>
      </c>
      <c r="AE71" s="100">
        <f>480*AE63*$AO$25*3.5</f>
        <v>669756.12741762167</v>
      </c>
      <c r="AF71" s="100">
        <f>480*AF63*$AO$25*6.5</f>
        <v>3824337.9746764619</v>
      </c>
      <c r="AG71" s="100">
        <f>480*AG63*$AO$25*12</f>
        <v>1713960.9321705545</v>
      </c>
      <c r="AH71" s="105">
        <f t="shared" ref="AH71:AH74" si="94">SUM(AD71:AG71)</f>
        <v>6271117.4369833898</v>
      </c>
    </row>
    <row r="72" spans="1:36">
      <c r="A72" s="4" t="s">
        <v>11</v>
      </c>
      <c r="B72" s="6">
        <v>95608</v>
      </c>
      <c r="C72" s="2" t="s">
        <v>192</v>
      </c>
      <c r="D72" s="8">
        <v>3486</v>
      </c>
      <c r="E72" s="2" t="s">
        <v>193</v>
      </c>
      <c r="F72" s="147">
        <v>151</v>
      </c>
      <c r="G72" s="145" t="s">
        <v>180</v>
      </c>
      <c r="I72" s="76" t="s">
        <v>334</v>
      </c>
      <c r="J72" s="104">
        <f>480*J64*$AK$25*1</f>
        <v>53375.999999999993</v>
      </c>
      <c r="K72" s="100">
        <f>480*K64*$AK$25*3.5</f>
        <v>680063.99999999977</v>
      </c>
      <c r="L72" s="100">
        <f>480*L64*$AK$25*6.5</f>
        <v>0</v>
      </c>
      <c r="M72" s="100">
        <f>480*M64*$AK$25*12</f>
        <v>0</v>
      </c>
      <c r="N72" s="105">
        <f t="shared" si="91"/>
        <v>733439.99999999977</v>
      </c>
      <c r="O72" s="104">
        <f>480*O64*$AL$25*1</f>
        <v>64850.0543530953</v>
      </c>
      <c r="P72" s="100">
        <f>480*P64*$AL$25*3.5</f>
        <v>826255.00905994093</v>
      </c>
      <c r="Q72" s="100">
        <f>480*Q64*$AL$25*6.5</f>
        <v>0</v>
      </c>
      <c r="R72" s="100">
        <f>480*R64*$AL$25*12</f>
        <v>0</v>
      </c>
      <c r="S72" s="105">
        <f>SUM(O72:R72)</f>
        <v>891105.06341303629</v>
      </c>
      <c r="T72" s="104">
        <f>480*T64*$AM$25*1</f>
        <v>77403.441353859613</v>
      </c>
      <c r="U72" s="100">
        <f>480*U64*$AM$25*3.5</f>
        <v>986197.80314881541</v>
      </c>
      <c r="V72" s="100">
        <f>480*V64*$AM$25*6.5</f>
        <v>0</v>
      </c>
      <c r="W72" s="100">
        <f>480*W64*$AM$25*12</f>
        <v>0</v>
      </c>
      <c r="X72" s="105">
        <f t="shared" si="92"/>
        <v>1063601.244502675</v>
      </c>
      <c r="Y72" s="104">
        <f>480*Y64*$AN$25*1</f>
        <v>91061.220157222415</v>
      </c>
      <c r="Z72" s="100">
        <f>480*Z64*$AN$25*3.5</f>
        <v>1160211.6611398621</v>
      </c>
      <c r="AA72" s="100">
        <f>480*AA64*$AN$25*6.5</f>
        <v>0</v>
      </c>
      <c r="AB72" s="100">
        <f>480*AB64*$AN$25*12</f>
        <v>0</v>
      </c>
      <c r="AC72" s="105">
        <f t="shared" si="93"/>
        <v>1251272.8812970845</v>
      </c>
      <c r="AD72" s="104">
        <f>480*AD64*$AO$25*1</f>
        <v>106201.50206817112</v>
      </c>
      <c r="AE72" s="100">
        <f>480*AE64*$AO$25*3.5</f>
        <v>1353114.1018901512</v>
      </c>
      <c r="AF72" s="100">
        <f>480*AF64*$AO$25*6.5</f>
        <v>0</v>
      </c>
      <c r="AG72" s="100">
        <f>480*AG64*$AO$25*12</f>
        <v>0</v>
      </c>
      <c r="AH72" s="105">
        <f t="shared" si="94"/>
        <v>1459315.6039583222</v>
      </c>
    </row>
    <row r="73" spans="1:36">
      <c r="A73" s="4" t="s">
        <v>15</v>
      </c>
      <c r="B73" s="6">
        <v>191331</v>
      </c>
      <c r="C73" s="2" t="s">
        <v>194</v>
      </c>
      <c r="D73" s="8">
        <v>5496</v>
      </c>
      <c r="E73" s="2" t="s">
        <v>195</v>
      </c>
      <c r="F73" s="147">
        <v>384</v>
      </c>
      <c r="G73" s="145"/>
      <c r="I73" s="76" t="s">
        <v>335</v>
      </c>
      <c r="J73" s="104">
        <f>480*J65*$AK$25*1</f>
        <v>755520.00000000035</v>
      </c>
      <c r="K73" s="100">
        <f>480*K65*$AK$25*3.5</f>
        <v>0</v>
      </c>
      <c r="L73" s="100">
        <f>480*L65*$AK$25*6.5</f>
        <v>0</v>
      </c>
      <c r="M73" s="100">
        <f>480*M65*$AK$25*12</f>
        <v>0</v>
      </c>
      <c r="N73" s="105">
        <f t="shared" si="91"/>
        <v>755520.00000000035</v>
      </c>
      <c r="O73" s="104">
        <f>480*O65*$AL$25*1</f>
        <v>913010.69154929603</v>
      </c>
      <c r="P73" s="100">
        <f>480*P65*$AL$25*3.5</f>
        <v>0</v>
      </c>
      <c r="Q73" s="100">
        <f>480*Q65*$AL$25*6.5</f>
        <v>0</v>
      </c>
      <c r="R73" s="100">
        <f>480*R65*$AL$25*12</f>
        <v>0</v>
      </c>
      <c r="S73" s="105">
        <f>SUM(O73:R73)</f>
        <v>913010.69154929603</v>
      </c>
      <c r="T73" s="104">
        <f>480*T65*$AM$25*1</f>
        <v>1084935.7295774652</v>
      </c>
      <c r="U73" s="100">
        <f>480*U65*$AM$25*3.5</f>
        <v>0</v>
      </c>
      <c r="V73" s="100">
        <f>480*V65*$AM$25*6.5</f>
        <v>0</v>
      </c>
      <c r="W73" s="100">
        <f>480*W65*$AM$25*12</f>
        <v>0</v>
      </c>
      <c r="X73" s="105">
        <f t="shared" si="92"/>
        <v>1084935.7295774652</v>
      </c>
      <c r="Y73" s="104">
        <f>480*Y65*$AN$25*1</f>
        <v>1271649.8183098591</v>
      </c>
      <c r="Z73" s="100">
        <f>480*Z65*$AN$25*3.5</f>
        <v>0</v>
      </c>
      <c r="AA73" s="100">
        <f>480*AA65*$AN$25*6.5</f>
        <v>0</v>
      </c>
      <c r="AB73" s="100">
        <f>480*AB65*$AN$25*12</f>
        <v>0</v>
      </c>
      <c r="AC73" s="105">
        <f t="shared" si="93"/>
        <v>1271649.8183098591</v>
      </c>
      <c r="AD73" s="104">
        <f>480*AD65*$AO$25*1</f>
        <v>1478416.5935389283</v>
      </c>
      <c r="AE73" s="100">
        <f>480*AE65*$AO$25*3.5</f>
        <v>0</v>
      </c>
      <c r="AF73" s="100">
        <f>480*AF65*$AO$25*6.5</f>
        <v>0</v>
      </c>
      <c r="AG73" s="100">
        <f>480*AG65*$AO$25*12</f>
        <v>0</v>
      </c>
      <c r="AH73" s="105">
        <f t="shared" si="94"/>
        <v>1478416.5935389283</v>
      </c>
    </row>
    <row r="74" spans="1:36" ht="13.5" thickBot="1">
      <c r="A74" s="4" t="s">
        <v>19</v>
      </c>
      <c r="B74" s="6">
        <v>353807</v>
      </c>
      <c r="C74" s="2" t="s">
        <v>197</v>
      </c>
      <c r="D74" s="8">
        <v>9607</v>
      </c>
      <c r="E74" s="2" t="s">
        <v>198</v>
      </c>
      <c r="F74" s="147">
        <v>474</v>
      </c>
      <c r="G74" s="145" t="s">
        <v>212</v>
      </c>
      <c r="I74" s="78" t="s">
        <v>336</v>
      </c>
      <c r="J74" s="106">
        <f>480*J66*$AK$25*1</f>
        <v>1594896.0000000002</v>
      </c>
      <c r="K74" s="107">
        <f>480*K66*$AK$25*3.5</f>
        <v>4345151.9999999991</v>
      </c>
      <c r="L74" s="107">
        <f>480*L66*$AK$25*6.5</f>
        <v>14927640</v>
      </c>
      <c r="M74" s="107">
        <f>480*M66*$AK$25*12</f>
        <v>24084864.000000004</v>
      </c>
      <c r="N74" s="108">
        <f t="shared" si="91"/>
        <v>44952552</v>
      </c>
      <c r="O74" s="106">
        <f>480*O66*$AL$25*1</f>
        <v>1745175.6371830988</v>
      </c>
      <c r="P74" s="107">
        <f>480*P66*$AL$25*3.5</f>
        <v>4754575.477183098</v>
      </c>
      <c r="Q74" s="107">
        <f>480*Q66*$AL$25*6.5</f>
        <v>16334202.135211267</v>
      </c>
      <c r="R74" s="107">
        <f>480*R66*$AL$25*12</f>
        <v>26354268.79098592</v>
      </c>
      <c r="S74" s="108">
        <f>SUM(O74:R74)</f>
        <v>49188222.040563382</v>
      </c>
      <c r="T74" s="106">
        <f>480*T66*$AM$25*1</f>
        <v>1894706.496901409</v>
      </c>
      <c r="U74" s="107">
        <f>480*U66*$AM$25*3.5</f>
        <v>5161958.9769014074</v>
      </c>
      <c r="V74" s="107">
        <f>480*V66*$AM$25*6.5</f>
        <v>17733755.988732398</v>
      </c>
      <c r="W74" s="107">
        <f>480*W66*$AM$25*12</f>
        <v>28612366.134084515</v>
      </c>
      <c r="X74" s="108">
        <f t="shared" si="92"/>
        <v>53402787.596619725</v>
      </c>
      <c r="Y74" s="106">
        <f>480*Y66*$AN$25*1</f>
        <v>2044237.3566197187</v>
      </c>
      <c r="Z74" s="107">
        <f>480*Z66*$AN$25*3.5</f>
        <v>5569342.4766197167</v>
      </c>
      <c r="AA74" s="107">
        <f>480*AA66*$AN$25*6.5</f>
        <v>19133309.842253517</v>
      </c>
      <c r="AB74" s="107">
        <f>480*AB66*$AN$25*12</f>
        <v>30870463.477183104</v>
      </c>
      <c r="AC74" s="108">
        <f t="shared" si="93"/>
        <v>57617353.152676061</v>
      </c>
      <c r="AD74" s="106">
        <f>480*AD66*$AO$25*1</f>
        <v>2201606.6399335791</v>
      </c>
      <c r="AE74" s="107">
        <f>480*AE66*$AO$25*3.5</f>
        <v>5998081.0627907198</v>
      </c>
      <c r="AF74" s="107">
        <f>480*AF66*$AO$25*6.5</f>
        <v>20606228.457866896</v>
      </c>
      <c r="AG74" s="107">
        <f>480*AG66*$AO$25*12</f>
        <v>33246930.523555905</v>
      </c>
      <c r="AH74" s="108">
        <f t="shared" si="94"/>
        <v>62052846.684147097</v>
      </c>
    </row>
    <row r="75" spans="1:36">
      <c r="A75" s="4" t="s">
        <v>23</v>
      </c>
      <c r="B75" s="6">
        <v>555122</v>
      </c>
      <c r="C75" s="2" t="s">
        <v>200</v>
      </c>
      <c r="D75" s="8">
        <v>12986</v>
      </c>
      <c r="E75" s="2" t="s">
        <v>201</v>
      </c>
      <c r="F75" s="147">
        <v>115</v>
      </c>
      <c r="G75" s="145" t="s">
        <v>215</v>
      </c>
      <c r="N75" s="54"/>
    </row>
    <row r="76" spans="1:36" ht="13.5" thickBot="1">
      <c r="A76" s="4" t="s">
        <v>27</v>
      </c>
      <c r="B76" s="6">
        <v>246067</v>
      </c>
      <c r="C76" s="2" t="s">
        <v>203</v>
      </c>
      <c r="D76" s="8">
        <v>5209</v>
      </c>
      <c r="E76" s="2" t="s">
        <v>204</v>
      </c>
      <c r="F76" s="147">
        <v>56</v>
      </c>
      <c r="G76" s="145" t="s">
        <v>219</v>
      </c>
      <c r="I76" s="13" t="s">
        <v>364</v>
      </c>
      <c r="J76" s="134"/>
      <c r="K76" s="134"/>
      <c r="L76" s="134"/>
      <c r="M76" s="134"/>
      <c r="N76" s="134"/>
      <c r="P76" s="13" t="s">
        <v>366</v>
      </c>
      <c r="Q76" s="123"/>
      <c r="R76" s="123"/>
      <c r="S76" s="123"/>
      <c r="T76" s="123"/>
      <c r="U76" s="123"/>
      <c r="W76" s="13" t="s">
        <v>369</v>
      </c>
      <c r="X76" s="123"/>
      <c r="Y76" s="123"/>
      <c r="Z76" s="123"/>
      <c r="AA76" s="123"/>
      <c r="AB76" s="123"/>
      <c r="AD76" s="13" t="s">
        <v>379</v>
      </c>
      <c r="AE76" s="123"/>
      <c r="AF76" s="123"/>
      <c r="AG76" s="123"/>
      <c r="AH76" s="123"/>
      <c r="AI76" s="123"/>
    </row>
    <row r="77" spans="1:36">
      <c r="A77" s="4"/>
      <c r="B77" s="10">
        <f>SUM(B72:B76)</f>
        <v>1441935</v>
      </c>
      <c r="C77" s="11"/>
      <c r="D77" s="10">
        <f>SUM(D72:D76)</f>
        <v>36784</v>
      </c>
      <c r="E77" s="11"/>
      <c r="F77" s="146">
        <f>SUM(F72:F76)</f>
        <v>1180</v>
      </c>
      <c r="G77" s="145" t="s">
        <v>73</v>
      </c>
      <c r="I77" s="75"/>
      <c r="J77" s="110">
        <v>2011</v>
      </c>
      <c r="K77" s="111">
        <v>2020</v>
      </c>
      <c r="L77" s="111">
        <v>2030</v>
      </c>
      <c r="M77" s="111">
        <v>2040</v>
      </c>
      <c r="N77" s="109">
        <v>2050</v>
      </c>
      <c r="P77" s="119"/>
      <c r="Q77" s="111">
        <v>2011</v>
      </c>
      <c r="R77" s="111">
        <v>2020</v>
      </c>
      <c r="S77" s="111">
        <v>2030</v>
      </c>
      <c r="T77" s="111">
        <v>2040</v>
      </c>
      <c r="U77" s="109">
        <v>2050</v>
      </c>
      <c r="W77" s="119"/>
      <c r="X77" s="111">
        <v>2011</v>
      </c>
      <c r="Y77" s="111">
        <v>2020</v>
      </c>
      <c r="Z77" s="111">
        <v>2030</v>
      </c>
      <c r="AA77" s="111">
        <v>2040</v>
      </c>
      <c r="AB77" s="109">
        <v>2050</v>
      </c>
      <c r="AD77" s="119"/>
      <c r="AE77" s="111">
        <v>2011</v>
      </c>
      <c r="AF77" s="111">
        <v>2020</v>
      </c>
      <c r="AG77" s="111">
        <v>2030</v>
      </c>
      <c r="AH77" s="111">
        <v>2040</v>
      </c>
      <c r="AI77" s="109">
        <v>2050</v>
      </c>
    </row>
    <row r="78" spans="1:36">
      <c r="A78" s="4" t="s">
        <v>31</v>
      </c>
      <c r="B78" s="6">
        <v>1166043</v>
      </c>
      <c r="C78" s="2" t="s">
        <v>206</v>
      </c>
      <c r="D78" s="8">
        <v>25927</v>
      </c>
      <c r="E78" s="2" t="s">
        <v>207</v>
      </c>
      <c r="F78" s="147">
        <v>79</v>
      </c>
      <c r="G78" s="145" t="s">
        <v>196</v>
      </c>
      <c r="I78" s="76" t="s">
        <v>342</v>
      </c>
      <c r="J78" s="104">
        <f>N70</f>
        <v>39859776.000000007</v>
      </c>
      <c r="K78" s="100">
        <f>S70</f>
        <v>42495121.244248055</v>
      </c>
      <c r="L78" s="100">
        <f>X70</f>
        <v>44919746.199522063</v>
      </c>
      <c r="M78" s="100">
        <f>AC70</f>
        <v>47152364.375681192</v>
      </c>
      <c r="N78" s="105">
        <f>AH70</f>
        <v>49368744.287904292</v>
      </c>
      <c r="P78" s="120" t="s">
        <v>342</v>
      </c>
      <c r="Q78" s="100">
        <f>J78/1.07</f>
        <v>37252127.102803744</v>
      </c>
      <c r="R78" s="100">
        <f t="shared" ref="R78" si="95">K78/1.07</f>
        <v>39715066.583409391</v>
      </c>
      <c r="S78" s="100">
        <f t="shared" ref="S78" si="96">L78/1.07</f>
        <v>41981071.214506596</v>
      </c>
      <c r="T78" s="100">
        <f t="shared" ref="T78" si="97">M78/1.07</f>
        <v>44067630.257645972</v>
      </c>
      <c r="U78" s="105">
        <f t="shared" ref="U78" si="98">N78/1.07</f>
        <v>46139013.353181578</v>
      </c>
      <c r="W78" s="120" t="s">
        <v>342</v>
      </c>
      <c r="X78" s="100">
        <f>$Q$53-Q78</f>
        <v>0</v>
      </c>
      <c r="Y78" s="125">
        <f>$R$53-R78</f>
        <v>1047155.3126021996</v>
      </c>
      <c r="Z78" s="125">
        <f>$S$53-S78</f>
        <v>2273756.2131622285</v>
      </c>
      <c r="AA78" s="125">
        <f>$T$53-T78</f>
        <v>3679802.7016800791</v>
      </c>
      <c r="AB78" s="125">
        <f>$U$53-U78</f>
        <v>5284107.8918289691</v>
      </c>
      <c r="AD78" s="120" t="s">
        <v>342</v>
      </c>
      <c r="AE78" s="100">
        <f>Q78/0.22</f>
        <v>169327850.46728975</v>
      </c>
      <c r="AF78" s="100">
        <f t="shared" ref="AF78:AI78" si="99">R78/0.22</f>
        <v>180523029.92458814</v>
      </c>
      <c r="AG78" s="100">
        <f t="shared" si="99"/>
        <v>190823050.97502998</v>
      </c>
      <c r="AH78" s="100">
        <f t="shared" si="99"/>
        <v>200307410.26202714</v>
      </c>
      <c r="AI78" s="100">
        <f t="shared" si="99"/>
        <v>209722787.96900716</v>
      </c>
    </row>
    <row r="79" spans="1:36">
      <c r="A79" s="4" t="s">
        <v>35</v>
      </c>
      <c r="B79" s="6">
        <v>673848</v>
      </c>
      <c r="C79" s="2" t="s">
        <v>208</v>
      </c>
      <c r="D79" s="8">
        <v>18725</v>
      </c>
      <c r="E79" s="2" t="s">
        <v>209</v>
      </c>
      <c r="F79" s="147">
        <v>0</v>
      </c>
      <c r="G79" s="145" t="s">
        <v>199</v>
      </c>
      <c r="I79" s="77" t="s">
        <v>333</v>
      </c>
      <c r="J79" s="104">
        <f t="shared" ref="J79:J82" si="100">N71</f>
        <v>3603815.9999999991</v>
      </c>
      <c r="K79" s="100">
        <f t="shared" ref="K79:K82" si="101">S71</f>
        <v>4200291.7999182381</v>
      </c>
      <c r="L79" s="100">
        <f t="shared" ref="L79:L82" si="102">X71</f>
        <v>4839100.1426497977</v>
      </c>
      <c r="M79" s="100">
        <f t="shared" ref="M79:M82" si="103">AC71</f>
        <v>5521932.9605890438</v>
      </c>
      <c r="N79" s="105">
        <f t="shared" ref="N79:N82" si="104">AH71</f>
        <v>6271117.4369833898</v>
      </c>
      <c r="P79" s="121" t="s">
        <v>333</v>
      </c>
      <c r="Q79" s="100">
        <f>J79/20</f>
        <v>180190.79999999996</v>
      </c>
      <c r="R79" s="100">
        <f t="shared" ref="R79" si="105">K79/20</f>
        <v>210014.5899959119</v>
      </c>
      <c r="S79" s="100">
        <f t="shared" ref="S79" si="106">L79/20</f>
        <v>241955.00713248987</v>
      </c>
      <c r="T79" s="100">
        <f t="shared" ref="T79" si="107">M79/20</f>
        <v>276096.64802945219</v>
      </c>
      <c r="U79" s="105">
        <f t="shared" ref="U79" si="108">N79/20</f>
        <v>313555.87184916949</v>
      </c>
      <c r="W79" s="121" t="s">
        <v>333</v>
      </c>
      <c r="X79" s="100">
        <f>$Q$54-Q79</f>
        <v>0</v>
      </c>
      <c r="Y79" s="128">
        <f>$R$54-R79</f>
        <v>-12845.248418447154</v>
      </c>
      <c r="Z79" s="128">
        <f>$S$54-S79</f>
        <v>-27891.720597278647</v>
      </c>
      <c r="AA79" s="128">
        <f>$T$54-T79</f>
        <v>-45139.416536494478</v>
      </c>
      <c r="AB79" s="128">
        <f>$U$54-U79</f>
        <v>-64819.113004114159</v>
      </c>
      <c r="AD79" s="121" t="s">
        <v>333</v>
      </c>
      <c r="AE79" s="100">
        <f>Q79/0.22</f>
        <v>819049.09090909071</v>
      </c>
      <c r="AF79" s="100">
        <f t="shared" ref="AF79" si="109">R79/0.22</f>
        <v>954611.77270869049</v>
      </c>
      <c r="AG79" s="100">
        <f t="shared" ref="AG79" si="110">S79/0.22</f>
        <v>1099795.486965863</v>
      </c>
      <c r="AH79" s="100">
        <f t="shared" ref="AH79" si="111">T79/0.22</f>
        <v>1254984.7637702373</v>
      </c>
      <c r="AI79" s="100">
        <f t="shared" ref="AI79" si="112">U79/0.22</f>
        <v>1425253.9629507705</v>
      </c>
    </row>
    <row r="80" spans="1:36" ht="13.5" thickBot="1">
      <c r="A80" s="4"/>
      <c r="B80" s="12">
        <f>SUM(B78:B79)</f>
        <v>1839891</v>
      </c>
      <c r="C80" s="12">
        <f t="shared" ref="C80" si="113">SUM(C78:C79)</f>
        <v>0</v>
      </c>
      <c r="D80" s="12">
        <f t="shared" ref="D80" si="114">SUM(D78:D79)</f>
        <v>44652</v>
      </c>
      <c r="E80" s="12">
        <f t="shared" ref="E80" si="115">SUM(E78:E79)</f>
        <v>0</v>
      </c>
      <c r="F80" s="151">
        <f t="shared" ref="F80" si="116">SUM(F78:F79)</f>
        <v>79</v>
      </c>
      <c r="G80" s="145" t="s">
        <v>202</v>
      </c>
      <c r="I80" s="76" t="s">
        <v>334</v>
      </c>
      <c r="J80" s="104">
        <f t="shared" si="100"/>
        <v>733439.99999999977</v>
      </c>
      <c r="K80" s="100">
        <f t="shared" si="101"/>
        <v>891105.06341303629</v>
      </c>
      <c r="L80" s="100">
        <f t="shared" si="102"/>
        <v>1063601.244502675</v>
      </c>
      <c r="M80" s="100">
        <f t="shared" si="103"/>
        <v>1251272.8812970845</v>
      </c>
      <c r="N80" s="105">
        <f t="shared" si="104"/>
        <v>1459315.6039583222</v>
      </c>
      <c r="P80" s="122" t="s">
        <v>336</v>
      </c>
      <c r="Q80" s="107">
        <f>SUM(Q78:Q79)</f>
        <v>37432317.902803741</v>
      </c>
      <c r="R80" s="107">
        <f t="shared" ref="R80" si="117">SUM(R78:R79)</f>
        <v>39925081.173405305</v>
      </c>
      <c r="S80" s="107">
        <f t="shared" ref="S80" si="118">SUM(S78:S79)</f>
        <v>42223026.221639089</v>
      </c>
      <c r="T80" s="107">
        <f t="shared" ref="T80" si="119">SUM(T78:T79)</f>
        <v>44343726.905675426</v>
      </c>
      <c r="U80" s="108">
        <f t="shared" ref="U80" si="120">SUM(U78:U79)</f>
        <v>46452569.22503075</v>
      </c>
      <c r="W80" s="122" t="s">
        <v>336</v>
      </c>
      <c r="X80" s="107">
        <f>SUM(X78:X79)</f>
        <v>0</v>
      </c>
      <c r="Y80" s="126">
        <f t="shared" ref="Y80" si="121">SUM(Y78:Y79)</f>
        <v>1034310.0641837525</v>
      </c>
      <c r="Z80" s="126">
        <f t="shared" ref="Z80" si="122">SUM(Z78:Z79)</f>
        <v>2245864.4925649497</v>
      </c>
      <c r="AA80" s="126">
        <f t="shared" ref="AA80" si="123">SUM(AA78:AA79)</f>
        <v>3634663.2851435845</v>
      </c>
      <c r="AB80" s="127">
        <f t="shared" ref="AB80" si="124">SUM(AB78:AB79)</f>
        <v>5219288.7788248546</v>
      </c>
      <c r="AD80" s="122" t="s">
        <v>336</v>
      </c>
      <c r="AE80" s="107">
        <f>SUM(AE78:AE79)</f>
        <v>170146899.55819884</v>
      </c>
      <c r="AF80" s="107">
        <f t="shared" ref="AF80" si="125">SUM(AF78:AF79)</f>
        <v>181477641.69729683</v>
      </c>
      <c r="AG80" s="107">
        <f t="shared" ref="AG80" si="126">SUM(AG78:AG79)</f>
        <v>191922846.46199584</v>
      </c>
      <c r="AH80" s="107">
        <f t="shared" ref="AH80" si="127">SUM(AH78:AH79)</f>
        <v>201562395.02579737</v>
      </c>
      <c r="AI80" s="108">
        <f t="shared" ref="AI80" si="128">SUM(AI78:AI79)</f>
        <v>211148041.93195793</v>
      </c>
    </row>
    <row r="81" spans="1:36">
      <c r="A81" s="4" t="s">
        <v>39</v>
      </c>
      <c r="B81" s="12">
        <v>1172811</v>
      </c>
      <c r="C81" s="11" t="s">
        <v>210</v>
      </c>
      <c r="D81" s="10">
        <v>29617</v>
      </c>
      <c r="E81" s="11" t="s">
        <v>211</v>
      </c>
      <c r="F81" s="147">
        <v>8</v>
      </c>
      <c r="G81" s="145" t="s">
        <v>205</v>
      </c>
      <c r="I81" s="76" t="s">
        <v>335</v>
      </c>
      <c r="J81" s="104">
        <f t="shared" si="100"/>
        <v>755520.00000000035</v>
      </c>
      <c r="K81" s="100">
        <f t="shared" si="101"/>
        <v>913010.69154929603</v>
      </c>
      <c r="L81" s="100">
        <f t="shared" si="102"/>
        <v>1084935.7295774652</v>
      </c>
      <c r="M81" s="100">
        <f t="shared" si="103"/>
        <v>1271649.8183098591</v>
      </c>
      <c r="N81" s="105">
        <f t="shared" si="104"/>
        <v>1478416.5935389283</v>
      </c>
      <c r="V81" s="133">
        <f>(Q78/25+Q79/5)*9/1000</f>
        <v>13735.109197009346</v>
      </c>
    </row>
    <row r="82" spans="1:36" ht="13.5" thickBot="1">
      <c r="A82" s="4" t="s">
        <v>43</v>
      </c>
      <c r="B82" s="12">
        <v>2460493</v>
      </c>
      <c r="C82" s="11" t="s">
        <v>213</v>
      </c>
      <c r="D82" s="10">
        <v>55682</v>
      </c>
      <c r="E82" s="11" t="s">
        <v>214</v>
      </c>
      <c r="F82" s="147">
        <v>20</v>
      </c>
      <c r="G82" s="145" t="s">
        <v>205</v>
      </c>
      <c r="I82" s="78" t="s">
        <v>336</v>
      </c>
      <c r="J82" s="104">
        <f t="shared" si="100"/>
        <v>44952552</v>
      </c>
      <c r="K82" s="100">
        <f t="shared" si="101"/>
        <v>49188222.040563382</v>
      </c>
      <c r="L82" s="100">
        <f t="shared" si="102"/>
        <v>53402787.596619725</v>
      </c>
      <c r="M82" s="100">
        <f t="shared" si="103"/>
        <v>57617353.152676061</v>
      </c>
      <c r="N82" s="105">
        <f t="shared" si="104"/>
        <v>62052846.684147097</v>
      </c>
      <c r="P82" s="13" t="s">
        <v>370</v>
      </c>
      <c r="Q82" s="123"/>
      <c r="R82" s="123"/>
      <c r="S82" s="123"/>
      <c r="T82" s="123"/>
      <c r="U82" s="123"/>
      <c r="W82" s="13" t="s">
        <v>371</v>
      </c>
      <c r="AD82" s="13" t="s">
        <v>380</v>
      </c>
    </row>
    <row r="83" spans="1:36">
      <c r="A83" s="4" t="s">
        <v>216</v>
      </c>
      <c r="B83" s="6">
        <v>3695409</v>
      </c>
      <c r="C83" s="2" t="s">
        <v>217</v>
      </c>
      <c r="D83" s="8">
        <v>82045</v>
      </c>
      <c r="E83" s="2" t="s">
        <v>218</v>
      </c>
      <c r="F83" s="146">
        <v>1279</v>
      </c>
      <c r="G83" s="145" t="s">
        <v>180</v>
      </c>
      <c r="N83" s="54"/>
      <c r="P83" s="119"/>
      <c r="Q83" s="111">
        <v>2011</v>
      </c>
      <c r="R83" s="111">
        <v>2020</v>
      </c>
      <c r="S83" s="111">
        <v>2030</v>
      </c>
      <c r="T83" s="111">
        <v>2040</v>
      </c>
      <c r="U83" s="109">
        <v>2050</v>
      </c>
      <c r="W83" s="119"/>
      <c r="X83" s="111">
        <v>2011</v>
      </c>
      <c r="Y83" s="111">
        <v>2020</v>
      </c>
      <c r="Z83" s="111">
        <v>2030</v>
      </c>
      <c r="AA83" s="111">
        <v>2040</v>
      </c>
      <c r="AB83" s="109">
        <v>2050</v>
      </c>
      <c r="AD83" s="119"/>
      <c r="AE83" s="111">
        <v>2011</v>
      </c>
      <c r="AF83" s="111">
        <v>2020</v>
      </c>
      <c r="AG83" s="111">
        <v>2030</v>
      </c>
      <c r="AH83" s="111">
        <v>2040</v>
      </c>
      <c r="AI83" s="109">
        <v>2050</v>
      </c>
    </row>
    <row r="84" spans="1:36">
      <c r="A84" s="4" t="s">
        <v>11</v>
      </c>
      <c r="B84" s="6">
        <v>81342</v>
      </c>
      <c r="C84" s="2" t="s">
        <v>220</v>
      </c>
      <c r="D84" s="8">
        <v>3152</v>
      </c>
      <c r="E84" s="2" t="s">
        <v>221</v>
      </c>
      <c r="F84" s="147">
        <v>151</v>
      </c>
      <c r="G84" s="145" t="s">
        <v>212</v>
      </c>
      <c r="N84" s="54"/>
      <c r="P84" s="120" t="s">
        <v>342</v>
      </c>
      <c r="Q84" s="100">
        <f>X78/25</f>
        <v>0</v>
      </c>
      <c r="R84" s="100">
        <f>Y78/25</f>
        <v>41886.212504087984</v>
      </c>
      <c r="S84" s="100">
        <f>Z78/25</f>
        <v>90950.248526489144</v>
      </c>
      <c r="T84" s="100">
        <f>AA78/25</f>
        <v>147192.10806720317</v>
      </c>
      <c r="U84" s="100">
        <f>AB78/25</f>
        <v>211364.31567315877</v>
      </c>
      <c r="W84" s="120" t="s">
        <v>372</v>
      </c>
      <c r="X84" s="100"/>
      <c r="Y84" s="125">
        <f>R84*0.120215+R85*0.132915</f>
        <v>4693.8857974713555</v>
      </c>
      <c r="Z84" s="125">
        <f t="shared" ref="Z84:AB84" si="129">S84*0.120215+S85*0.132915</f>
        <v>10192.138517974436</v>
      </c>
      <c r="AA84" s="125">
        <f t="shared" si="129"/>
        <v>16494.758161509195</v>
      </c>
      <c r="AB84" s="129">
        <f t="shared" si="129"/>
        <v>23686.074727660412</v>
      </c>
      <c r="AD84" s="120" t="s">
        <v>372</v>
      </c>
      <c r="AE84" s="100"/>
      <c r="AF84" s="125">
        <f>R84*0.120215/0.22+R85*0.132915/0.15</f>
        <v>20611.524330641601</v>
      </c>
      <c r="AG84" s="125">
        <f t="shared" ref="AG84:AI84" si="130">S84*0.120215/0.22+S85*0.132915/0.15</f>
        <v>44755.138942167971</v>
      </c>
      <c r="AH84" s="125">
        <f t="shared" si="130"/>
        <v>72430.843834578947</v>
      </c>
      <c r="AI84" s="125">
        <f t="shared" si="130"/>
        <v>104008.94410545079</v>
      </c>
    </row>
    <row r="85" spans="1:36" ht="13.5" thickBot="1">
      <c r="A85" s="4" t="s">
        <v>15</v>
      </c>
      <c r="B85" s="6">
        <v>163242</v>
      </c>
      <c r="C85" s="2" t="s">
        <v>96</v>
      </c>
      <c r="D85" s="8">
        <v>5074</v>
      </c>
      <c r="E85" s="2" t="s">
        <v>222</v>
      </c>
      <c r="F85" s="147">
        <v>384</v>
      </c>
      <c r="G85" s="145" t="s">
        <v>215</v>
      </c>
      <c r="N85" s="54"/>
      <c r="P85" s="121" t="s">
        <v>333</v>
      </c>
      <c r="Q85" s="100">
        <f>X79/5</f>
        <v>0</v>
      </c>
      <c r="R85" s="124">
        <f>Y79/5</f>
        <v>-2569.0496836894308</v>
      </c>
      <c r="S85" s="124">
        <f>Z79/5</f>
        <v>-5578.344119455729</v>
      </c>
      <c r="T85" s="124">
        <f>AA79/5</f>
        <v>-9027.8833072988964</v>
      </c>
      <c r="U85" s="124">
        <f>AB79/5</f>
        <v>-12963.822600822832</v>
      </c>
      <c r="W85" s="130" t="s">
        <v>373</v>
      </c>
      <c r="X85" s="107"/>
      <c r="Y85" s="131">
        <f>(9*R84+10.218*R85)/1000</f>
        <v>350.72536286885327</v>
      </c>
      <c r="Z85" s="131">
        <f t="shared" ref="Z85:AB85" si="131">(9*S84+10.218*S85)/1000</f>
        <v>761.5527165258037</v>
      </c>
      <c r="AA85" s="131">
        <f t="shared" si="131"/>
        <v>1232.4820609708481</v>
      </c>
      <c r="AB85" s="132">
        <f t="shared" si="131"/>
        <v>1769.8145017232209</v>
      </c>
      <c r="AD85" s="130" t="s">
        <v>373</v>
      </c>
      <c r="AE85" s="107"/>
      <c r="AF85" s="131">
        <f>(9*R84/0.22+10.218*R85/0.15)/1000</f>
        <v>1538.5232107143117</v>
      </c>
      <c r="AG85" s="131">
        <f t="shared" ref="AG85:AI85" si="132">(9*S84/0.22+10.218*S85/0.15)/1000</f>
        <v>3340.6951837572315</v>
      </c>
      <c r="AH85" s="131">
        <f t="shared" si="132"/>
        <v>5406.5159191287466</v>
      </c>
      <c r="AI85" s="131">
        <f t="shared" si="132"/>
        <v>7763.6264092429892</v>
      </c>
    </row>
    <row r="86" spans="1:36" ht="13.5" thickBot="1">
      <c r="A86" s="4" t="s">
        <v>19</v>
      </c>
      <c r="B86" s="6">
        <v>277598</v>
      </c>
      <c r="C86" s="2" t="s">
        <v>223</v>
      </c>
      <c r="D86" s="8">
        <v>8093</v>
      </c>
      <c r="E86" s="2" t="s">
        <v>224</v>
      </c>
      <c r="F86" s="147">
        <v>474</v>
      </c>
      <c r="G86" s="145" t="s">
        <v>240</v>
      </c>
      <c r="N86" s="54"/>
      <c r="P86" s="122" t="s">
        <v>336</v>
      </c>
      <c r="Q86" s="107">
        <f>SUM(Q84:Q85)</f>
        <v>0</v>
      </c>
      <c r="R86" s="107">
        <f t="shared" ref="R86" si="133">SUM(R84:R85)</f>
        <v>39317.162820398553</v>
      </c>
      <c r="S86" s="107">
        <f t="shared" ref="S86" si="134">SUM(S84:S85)</f>
        <v>85371.90440703342</v>
      </c>
      <c r="T86" s="107">
        <f t="shared" ref="T86" si="135">SUM(T84:T85)</f>
        <v>138164.22475990426</v>
      </c>
      <c r="U86" s="108">
        <f t="shared" ref="U86" si="136">SUM(U84:U85)</f>
        <v>198400.49307233593</v>
      </c>
      <c r="W86" s="88"/>
      <c r="X86" s="117"/>
      <c r="Y86" s="117"/>
      <c r="Z86" s="117"/>
      <c r="AA86" s="117"/>
      <c r="AB86" s="117"/>
    </row>
    <row r="87" spans="1:36">
      <c r="A87" s="4" t="s">
        <v>23</v>
      </c>
      <c r="B87" s="6">
        <v>371403</v>
      </c>
      <c r="C87" s="2" t="s">
        <v>225</v>
      </c>
      <c r="D87" s="8">
        <v>8810</v>
      </c>
      <c r="E87" s="2" t="s">
        <v>226</v>
      </c>
      <c r="F87" s="147">
        <v>107</v>
      </c>
      <c r="G87" s="145" t="s">
        <v>180</v>
      </c>
      <c r="I87" s="62" t="s">
        <v>363</v>
      </c>
    </row>
    <row r="88" spans="1:36" ht="13.5" thickBot="1">
      <c r="A88" s="4" t="s">
        <v>27</v>
      </c>
      <c r="B88" s="6">
        <v>138897</v>
      </c>
      <c r="C88" s="2" t="s">
        <v>227</v>
      </c>
      <c r="D88" s="8">
        <v>2338</v>
      </c>
      <c r="E88" s="2" t="s">
        <v>228</v>
      </c>
      <c r="F88" s="147">
        <v>56</v>
      </c>
      <c r="G88" s="145" t="s">
        <v>180</v>
      </c>
      <c r="I88" s="13" t="s">
        <v>360</v>
      </c>
      <c r="J88" s="134">
        <v>2011</v>
      </c>
      <c r="K88" s="134"/>
      <c r="L88" s="134"/>
      <c r="M88" s="134"/>
      <c r="N88" s="134"/>
      <c r="O88" s="134">
        <v>2020</v>
      </c>
      <c r="P88" s="134"/>
      <c r="Q88" s="134"/>
      <c r="R88" s="134"/>
      <c r="S88" s="134"/>
      <c r="T88" s="134">
        <v>2030</v>
      </c>
      <c r="U88" s="134"/>
      <c r="V88" s="134"/>
      <c r="W88" s="134"/>
      <c r="X88" s="134"/>
      <c r="Y88" s="134">
        <v>2040</v>
      </c>
      <c r="Z88" s="134"/>
      <c r="AA88" s="134"/>
      <c r="AB88" s="134"/>
      <c r="AC88" s="134"/>
      <c r="AD88" s="134">
        <v>2050</v>
      </c>
      <c r="AE88" s="134"/>
      <c r="AF88" s="134"/>
      <c r="AG88" s="134"/>
      <c r="AH88" s="134"/>
      <c r="AJ88" s="63" t="s">
        <v>383</v>
      </c>
    </row>
    <row r="89" spans="1:36">
      <c r="A89" s="4" t="s">
        <v>31</v>
      </c>
      <c r="B89" s="6">
        <v>693357</v>
      </c>
      <c r="C89" s="2" t="s">
        <v>229</v>
      </c>
      <c r="D89" s="8">
        <v>13576</v>
      </c>
      <c r="E89" s="2" t="s">
        <v>230</v>
      </c>
      <c r="F89" s="147">
        <v>79</v>
      </c>
      <c r="G89" s="145" t="s">
        <v>180</v>
      </c>
      <c r="I89" s="75"/>
      <c r="J89" s="79" t="s">
        <v>343</v>
      </c>
      <c r="K89" s="80" t="s">
        <v>344</v>
      </c>
      <c r="L89" s="81" t="s">
        <v>345</v>
      </c>
      <c r="M89" s="82" t="s">
        <v>346</v>
      </c>
      <c r="N89" s="83" t="s">
        <v>336</v>
      </c>
      <c r="O89" s="65" t="s">
        <v>343</v>
      </c>
      <c r="P89" s="66" t="s">
        <v>344</v>
      </c>
      <c r="Q89" s="67" t="s">
        <v>345</v>
      </c>
      <c r="R89" s="68" t="s">
        <v>346</v>
      </c>
      <c r="S89" s="69" t="s">
        <v>336</v>
      </c>
      <c r="T89" s="65" t="s">
        <v>343</v>
      </c>
      <c r="U89" s="66" t="s">
        <v>344</v>
      </c>
      <c r="V89" s="67" t="s">
        <v>345</v>
      </c>
      <c r="W89" s="68" t="s">
        <v>346</v>
      </c>
      <c r="X89" s="69" t="s">
        <v>336</v>
      </c>
      <c r="Y89" s="65" t="s">
        <v>343</v>
      </c>
      <c r="Z89" s="66" t="s">
        <v>344</v>
      </c>
      <c r="AA89" s="67" t="s">
        <v>345</v>
      </c>
      <c r="AB89" s="68" t="s">
        <v>346</v>
      </c>
      <c r="AC89" s="69" t="s">
        <v>336</v>
      </c>
      <c r="AD89" s="65" t="s">
        <v>343</v>
      </c>
      <c r="AE89" s="66" t="s">
        <v>344</v>
      </c>
      <c r="AF89" s="67" t="s">
        <v>345</v>
      </c>
      <c r="AG89" s="68" t="s">
        <v>346</v>
      </c>
      <c r="AH89" s="69" t="s">
        <v>336</v>
      </c>
    </row>
    <row r="90" spans="1:36">
      <c r="A90" s="4" t="s">
        <v>35</v>
      </c>
      <c r="B90" s="6">
        <v>305665</v>
      </c>
      <c r="C90" s="2" t="s">
        <v>231</v>
      </c>
      <c r="D90" s="8">
        <v>6484</v>
      </c>
      <c r="E90" s="2" t="s">
        <v>232</v>
      </c>
      <c r="F90" s="147">
        <v>0</v>
      </c>
      <c r="G90" s="145" t="s">
        <v>240</v>
      </c>
      <c r="I90" s="76" t="s">
        <v>342</v>
      </c>
      <c r="J90" s="59">
        <v>0.10500840336134454</v>
      </c>
      <c r="K90" s="59">
        <v>0.13126050420168067</v>
      </c>
      <c r="L90" s="59">
        <v>0.27429243697478994</v>
      </c>
      <c r="M90" s="59">
        <v>0.26960672268907565</v>
      </c>
      <c r="N90" s="84">
        <v>0.7801680672268908</v>
      </c>
      <c r="O90" s="70">
        <f t="shared" ref="O90:R94" si="137">J90/$N90*$S90</f>
        <v>9.2216018160818841E-2</v>
      </c>
      <c r="P90" s="64">
        <f t="shared" si="137"/>
        <v>0.11527002270102354</v>
      </c>
      <c r="Q90" s="64">
        <f t="shared" si="137"/>
        <v>0.24087744923044621</v>
      </c>
      <c r="R90" s="64">
        <f t="shared" si="137"/>
        <v>0.2367625603278796</v>
      </c>
      <c r="S90" s="71">
        <f>($AH90-$N90)*1/4+$N90</f>
        <v>0.68512605042016816</v>
      </c>
      <c r="T90" s="70">
        <f t="shared" ref="T90:U94" si="138">J90/$N90*$X90</f>
        <v>7.9423632960293131E-2</v>
      </c>
      <c r="U90" s="64">
        <f t="shared" si="138"/>
        <v>9.9279541200366403E-2</v>
      </c>
      <c r="V90" s="64">
        <f t="shared" ref="V90:W94" si="139">L90/$N90*$X90</f>
        <v>0.20746246148610242</v>
      </c>
      <c r="W90" s="64">
        <f t="shared" si="139"/>
        <v>0.20391839796668346</v>
      </c>
      <c r="X90" s="71">
        <f>($AH90-$N90)*2/4+$N90</f>
        <v>0.59008403361344541</v>
      </c>
      <c r="Y90" s="70">
        <f t="shared" ref="Y90:AB94" si="140">J90/$N90*$AC90</f>
        <v>6.663124775976742E-2</v>
      </c>
      <c r="Z90" s="64">
        <f t="shared" si="140"/>
        <v>8.3289059699709261E-2</v>
      </c>
      <c r="AA90" s="64">
        <f t="shared" si="140"/>
        <v>0.17404747374175869</v>
      </c>
      <c r="AB90" s="64">
        <f t="shared" si="140"/>
        <v>0.17107423560548737</v>
      </c>
      <c r="AC90" s="71">
        <f>($AH90-$N90)*3/4+$N90</f>
        <v>0.49504201680672272</v>
      </c>
      <c r="AD90" s="94">
        <f t="shared" ref="AD90:AG94" si="141">J90/$N90*$AH90</f>
        <v>5.383886255924171E-2</v>
      </c>
      <c r="AE90" s="95">
        <f t="shared" si="141"/>
        <v>6.7298578199052134E-2</v>
      </c>
      <c r="AF90" s="95">
        <f t="shared" si="141"/>
        <v>0.14063248599741493</v>
      </c>
      <c r="AG90" s="95">
        <f t="shared" si="141"/>
        <v>0.13823007324429126</v>
      </c>
      <c r="AH90" s="96">
        <v>0.4</v>
      </c>
    </row>
    <row r="91" spans="1:36">
      <c r="A91" s="4" t="s">
        <v>39</v>
      </c>
      <c r="B91" s="6">
        <v>531922</v>
      </c>
      <c r="C91" s="2" t="s">
        <v>233</v>
      </c>
      <c r="D91" s="8">
        <v>9985</v>
      </c>
      <c r="E91" s="2" t="s">
        <v>234</v>
      </c>
      <c r="F91" s="147">
        <v>8</v>
      </c>
      <c r="G91" s="145" t="s">
        <v>180</v>
      </c>
      <c r="I91" s="77" t="s">
        <v>333</v>
      </c>
      <c r="J91" s="59">
        <v>5.0756302521008404E-3</v>
      </c>
      <c r="K91" s="59">
        <v>1.540168067226891E-2</v>
      </c>
      <c r="L91" s="59">
        <v>4.7354621848739488E-2</v>
      </c>
      <c r="M91" s="59">
        <v>1.1495798319327729E-2</v>
      </c>
      <c r="N91" s="84">
        <v>7.9327731092436959E-2</v>
      </c>
      <c r="O91" s="70">
        <f t="shared" si="137"/>
        <v>8.6054515026349546E-3</v>
      </c>
      <c r="P91" s="64">
        <f t="shared" si="137"/>
        <v>2.6112701182167793E-2</v>
      </c>
      <c r="Q91" s="64">
        <f t="shared" si="137"/>
        <v>8.0287152827232589E-2</v>
      </c>
      <c r="R91" s="64">
        <f t="shared" si="137"/>
        <v>1.9490492807292408E-2</v>
      </c>
      <c r="S91" s="71">
        <f>($AH91-$N91)*1/4+$N91</f>
        <v>0.13449579831932773</v>
      </c>
      <c r="T91" s="70">
        <f t="shared" si="138"/>
        <v>1.2135272753169066E-2</v>
      </c>
      <c r="U91" s="64">
        <f t="shared" si="138"/>
        <v>3.6823721692066672E-2</v>
      </c>
      <c r="V91" s="64">
        <f t="shared" si="139"/>
        <v>0.11321968380572568</v>
      </c>
      <c r="W91" s="64">
        <f t="shared" si="139"/>
        <v>2.7485187295257084E-2</v>
      </c>
      <c r="X91" s="71">
        <f>($AH91-$N91)*2/4+$N91</f>
        <v>0.18966386554621847</v>
      </c>
      <c r="Y91" s="70">
        <f t="shared" si="140"/>
        <v>1.5665094003703178E-2</v>
      </c>
      <c r="Z91" s="64">
        <f t="shared" si="140"/>
        <v>4.7534742201965546E-2</v>
      </c>
      <c r="AA91" s="64">
        <f t="shared" si="140"/>
        <v>0.14615221478421878</v>
      </c>
      <c r="AB91" s="64">
        <f t="shared" si="140"/>
        <v>3.5479881783221756E-2</v>
      </c>
      <c r="AC91" s="71">
        <f>($AH91-$N91)*3/4+$N91</f>
        <v>0.24483193277310922</v>
      </c>
      <c r="AD91" s="94">
        <f t="shared" si="141"/>
        <v>1.9194915254237294E-2</v>
      </c>
      <c r="AE91" s="95">
        <f t="shared" si="141"/>
        <v>5.8245762711864428E-2</v>
      </c>
      <c r="AF91" s="95">
        <f t="shared" si="141"/>
        <v>0.17908474576271186</v>
      </c>
      <c r="AG91" s="95">
        <f t="shared" si="141"/>
        <v>4.3474576271186435E-2</v>
      </c>
      <c r="AH91" s="96">
        <v>0.3</v>
      </c>
    </row>
    <row r="92" spans="1:36">
      <c r="A92" s="4" t="s">
        <v>43</v>
      </c>
      <c r="B92" s="6">
        <v>1131983</v>
      </c>
      <c r="C92" s="2" t="s">
        <v>235</v>
      </c>
      <c r="D92" s="8">
        <v>24533</v>
      </c>
      <c r="E92" s="2" t="s">
        <v>236</v>
      </c>
      <c r="F92" s="147">
        <v>20</v>
      </c>
      <c r="G92" s="145" t="s">
        <v>180</v>
      </c>
      <c r="I92" s="76" t="s">
        <v>334</v>
      </c>
      <c r="J92" s="59">
        <v>7.4756302521008389E-3</v>
      </c>
      <c r="K92" s="59">
        <v>2.7213445378151253E-2</v>
      </c>
      <c r="L92" s="59">
        <v>0</v>
      </c>
      <c r="M92" s="59">
        <v>0</v>
      </c>
      <c r="N92" s="84">
        <v>3.4689075630252093E-2</v>
      </c>
      <c r="O92" s="70">
        <f t="shared" si="137"/>
        <v>1.0994319588300437E-2</v>
      </c>
      <c r="P92" s="64">
        <f t="shared" si="137"/>
        <v>4.0022487134388635E-2</v>
      </c>
      <c r="Q92" s="64">
        <f t="shared" si="137"/>
        <v>0</v>
      </c>
      <c r="R92" s="64">
        <f t="shared" si="137"/>
        <v>0</v>
      </c>
      <c r="S92" s="71">
        <f>($AH92-$N92)*1/4+$N92</f>
        <v>5.1016806722689073E-2</v>
      </c>
      <c r="T92" s="70">
        <f t="shared" si="138"/>
        <v>1.4513008924500035E-2</v>
      </c>
      <c r="U92" s="64">
        <f t="shared" si="138"/>
        <v>5.283152889062602E-2</v>
      </c>
      <c r="V92" s="64">
        <f t="shared" si="139"/>
        <v>0</v>
      </c>
      <c r="W92" s="64">
        <f t="shared" si="139"/>
        <v>0</v>
      </c>
      <c r="X92" s="71">
        <f>($AH92-$N92)*2/4+$N92</f>
        <v>6.734453781512606E-2</v>
      </c>
      <c r="Y92" s="70">
        <f t="shared" si="140"/>
        <v>1.8031698260699631E-2</v>
      </c>
      <c r="Z92" s="64">
        <f t="shared" si="140"/>
        <v>6.5640570646863391E-2</v>
      </c>
      <c r="AA92" s="64">
        <f t="shared" si="140"/>
        <v>0</v>
      </c>
      <c r="AB92" s="64">
        <f t="shared" si="140"/>
        <v>0</v>
      </c>
      <c r="AC92" s="71">
        <f>($AH92-$N92)*3/4+$N92</f>
        <v>8.3672268907563033E-2</v>
      </c>
      <c r="AD92" s="94">
        <f t="shared" si="141"/>
        <v>2.1550387596899229E-2</v>
      </c>
      <c r="AE92" s="95">
        <f t="shared" si="141"/>
        <v>7.8449612403100777E-2</v>
      </c>
      <c r="AF92" s="95">
        <f t="shared" si="141"/>
        <v>0</v>
      </c>
      <c r="AG92" s="95">
        <f t="shared" si="141"/>
        <v>0</v>
      </c>
      <c r="AH92" s="96">
        <v>0.1</v>
      </c>
    </row>
    <row r="93" spans="1:36" ht="25.5">
      <c r="A93" s="4" t="s">
        <v>237</v>
      </c>
      <c r="B93" s="6">
        <v>2428532</v>
      </c>
      <c r="C93" s="2" t="s">
        <v>238</v>
      </c>
      <c r="D93" s="8">
        <v>73434</v>
      </c>
      <c r="E93" s="2" t="s">
        <v>239</v>
      </c>
      <c r="F93" s="147">
        <v>8</v>
      </c>
      <c r="G93" s="145" t="s">
        <v>180</v>
      </c>
      <c r="I93" s="76" t="s">
        <v>335</v>
      </c>
      <c r="J93" s="59">
        <v>0.10581512605042021</v>
      </c>
      <c r="K93" s="59">
        <v>0</v>
      </c>
      <c r="L93" s="59">
        <v>0</v>
      </c>
      <c r="M93" s="59">
        <v>0</v>
      </c>
      <c r="N93" s="84">
        <v>0.10581512605042021</v>
      </c>
      <c r="O93" s="70">
        <f t="shared" si="137"/>
        <v>0.12936134453781517</v>
      </c>
      <c r="P93" s="64">
        <f t="shared" si="137"/>
        <v>0</v>
      </c>
      <c r="Q93" s="64">
        <f t="shared" si="137"/>
        <v>0</v>
      </c>
      <c r="R93" s="64">
        <f t="shared" si="137"/>
        <v>0</v>
      </c>
      <c r="S93" s="71">
        <f>($AH93-$N93)*1/4+$N93</f>
        <v>0.12936134453781517</v>
      </c>
      <c r="T93" s="70">
        <f t="shared" si="138"/>
        <v>0.15290756302521011</v>
      </c>
      <c r="U93" s="64">
        <f t="shared" si="138"/>
        <v>0</v>
      </c>
      <c r="V93" s="64">
        <f t="shared" si="139"/>
        <v>0</v>
      </c>
      <c r="W93" s="64">
        <f t="shared" si="139"/>
        <v>0</v>
      </c>
      <c r="X93" s="71">
        <f>($AH93-$N93)*2/4+$N93</f>
        <v>0.15290756302521011</v>
      </c>
      <c r="Y93" s="70">
        <f t="shared" si="140"/>
        <v>0.17645378151260505</v>
      </c>
      <c r="Z93" s="64">
        <f t="shared" si="140"/>
        <v>0</v>
      </c>
      <c r="AA93" s="64">
        <f t="shared" si="140"/>
        <v>0</v>
      </c>
      <c r="AB93" s="64">
        <f t="shared" si="140"/>
        <v>0</v>
      </c>
      <c r="AC93" s="71">
        <f>($AH93-$N93)*3/4+$N93</f>
        <v>0.17645378151260505</v>
      </c>
      <c r="AD93" s="94">
        <f t="shared" si="141"/>
        <v>0.2</v>
      </c>
      <c r="AE93" s="95">
        <f t="shared" si="141"/>
        <v>0</v>
      </c>
      <c r="AF93" s="95">
        <f t="shared" si="141"/>
        <v>0</v>
      </c>
      <c r="AG93" s="95">
        <f t="shared" si="141"/>
        <v>0</v>
      </c>
      <c r="AH93" s="96">
        <v>0.2</v>
      </c>
    </row>
    <row r="94" spans="1:36" ht="13.5" thickBot="1">
      <c r="A94" s="4" t="s">
        <v>11</v>
      </c>
      <c r="B94" s="6">
        <v>9358</v>
      </c>
      <c r="C94" s="2" t="s">
        <v>168</v>
      </c>
      <c r="D94" s="7">
        <v>239</v>
      </c>
      <c r="E94" s="2" t="s">
        <v>199</v>
      </c>
      <c r="F94" s="147">
        <v>0</v>
      </c>
      <c r="G94" s="145" t="s">
        <v>180</v>
      </c>
      <c r="I94" s="78" t="s">
        <v>336</v>
      </c>
      <c r="J94" s="85">
        <v>0.22337478991596643</v>
      </c>
      <c r="K94" s="85">
        <v>0.17387563025210082</v>
      </c>
      <c r="L94" s="85">
        <v>0.3216470588235294</v>
      </c>
      <c r="M94" s="85">
        <v>0.28110252100840338</v>
      </c>
      <c r="N94" s="86">
        <v>1</v>
      </c>
      <c r="O94" s="72">
        <f t="shared" si="137"/>
        <v>0.22337478991596643</v>
      </c>
      <c r="P94" s="73">
        <f t="shared" si="137"/>
        <v>0.17387563025210082</v>
      </c>
      <c r="Q94" s="73">
        <f t="shared" si="137"/>
        <v>0.3216470588235294</v>
      </c>
      <c r="R94" s="73">
        <f t="shared" si="137"/>
        <v>0.28110252100840338</v>
      </c>
      <c r="S94" s="74">
        <f>($AH94-$N94)*1/4+$N94</f>
        <v>1</v>
      </c>
      <c r="T94" s="72">
        <f t="shared" si="138"/>
        <v>0.22337478991596643</v>
      </c>
      <c r="U94" s="73">
        <f t="shared" si="138"/>
        <v>0.17387563025210082</v>
      </c>
      <c r="V94" s="73">
        <f t="shared" si="139"/>
        <v>0.3216470588235294</v>
      </c>
      <c r="W94" s="73">
        <f t="shared" si="139"/>
        <v>0.28110252100840338</v>
      </c>
      <c r="X94" s="74">
        <f>($AH94-$N94)*2/4+$N94</f>
        <v>1</v>
      </c>
      <c r="Y94" s="72">
        <f t="shared" si="140"/>
        <v>0.22337478991596643</v>
      </c>
      <c r="Z94" s="73">
        <f t="shared" si="140"/>
        <v>0.17387563025210082</v>
      </c>
      <c r="AA94" s="73">
        <f t="shared" si="140"/>
        <v>0.3216470588235294</v>
      </c>
      <c r="AB94" s="73">
        <f t="shared" si="140"/>
        <v>0.28110252100840338</v>
      </c>
      <c r="AC94" s="74">
        <f>($AH94-$N94)*3/4+$N94</f>
        <v>1</v>
      </c>
      <c r="AD94" s="97">
        <f t="shared" si="141"/>
        <v>0.22337478991596643</v>
      </c>
      <c r="AE94" s="98">
        <f t="shared" si="141"/>
        <v>0.17387563025210082</v>
      </c>
      <c r="AF94" s="98">
        <f t="shared" si="141"/>
        <v>0.3216470588235294</v>
      </c>
      <c r="AG94" s="98">
        <f t="shared" si="141"/>
        <v>0.28110252100840338</v>
      </c>
      <c r="AH94" s="99">
        <v>1</v>
      </c>
    </row>
    <row r="95" spans="1:36">
      <c r="A95" s="4" t="s">
        <v>15</v>
      </c>
      <c r="B95" s="6">
        <v>23805</v>
      </c>
      <c r="C95" s="2" t="s">
        <v>241</v>
      </c>
      <c r="D95" s="7">
        <v>351</v>
      </c>
      <c r="E95" s="2" t="s">
        <v>242</v>
      </c>
      <c r="F95" s="147">
        <v>0</v>
      </c>
      <c r="G95" s="145" t="s">
        <v>180</v>
      </c>
    </row>
    <row r="96" spans="1:36" ht="13.5" thickBot="1">
      <c r="A96" s="4" t="s">
        <v>19</v>
      </c>
      <c r="B96" s="6">
        <v>69446</v>
      </c>
      <c r="C96" s="2" t="s">
        <v>243</v>
      </c>
      <c r="D96" s="8">
        <v>1440</v>
      </c>
      <c r="E96" s="2" t="s">
        <v>244</v>
      </c>
      <c r="F96" s="147">
        <v>0</v>
      </c>
      <c r="G96" s="145" t="s">
        <v>180</v>
      </c>
      <c r="I96" s="13" t="s">
        <v>361</v>
      </c>
      <c r="J96" s="134">
        <v>2011</v>
      </c>
      <c r="K96" s="134"/>
      <c r="L96" s="134"/>
      <c r="M96" s="134"/>
      <c r="N96" s="134"/>
      <c r="O96" s="134">
        <v>2020</v>
      </c>
      <c r="P96" s="134"/>
      <c r="Q96" s="134"/>
      <c r="R96" s="134"/>
      <c r="S96" s="134"/>
      <c r="T96" s="134">
        <v>2030</v>
      </c>
      <c r="U96" s="134"/>
      <c r="V96" s="134"/>
      <c r="W96" s="134"/>
      <c r="X96" s="134"/>
      <c r="Y96" s="134">
        <v>2040</v>
      </c>
      <c r="Z96" s="134"/>
      <c r="AA96" s="134"/>
      <c r="AB96" s="134"/>
      <c r="AC96" s="134"/>
      <c r="AD96" s="134">
        <v>2050</v>
      </c>
      <c r="AE96" s="134"/>
      <c r="AF96" s="134"/>
      <c r="AG96" s="134"/>
      <c r="AH96" s="134"/>
    </row>
    <row r="97" spans="1:36">
      <c r="A97" s="4" t="s">
        <v>23</v>
      </c>
      <c r="B97" s="6">
        <v>170501</v>
      </c>
      <c r="C97" s="2" t="s">
        <v>245</v>
      </c>
      <c r="D97" s="8">
        <v>4067</v>
      </c>
      <c r="E97" s="2" t="s">
        <v>246</v>
      </c>
      <c r="F97" s="147">
        <v>8</v>
      </c>
      <c r="G97" s="145" t="s">
        <v>180</v>
      </c>
      <c r="I97" s="75"/>
      <c r="J97" s="103" t="s">
        <v>343</v>
      </c>
      <c r="K97" s="80" t="s">
        <v>344</v>
      </c>
      <c r="L97" s="81" t="s">
        <v>345</v>
      </c>
      <c r="M97" s="82" t="s">
        <v>346</v>
      </c>
      <c r="N97" s="83" t="s">
        <v>336</v>
      </c>
      <c r="O97" s="65" t="s">
        <v>343</v>
      </c>
      <c r="P97" s="66" t="s">
        <v>344</v>
      </c>
      <c r="Q97" s="67" t="s">
        <v>345</v>
      </c>
      <c r="R97" s="68" t="s">
        <v>346</v>
      </c>
      <c r="S97" s="69" t="s">
        <v>336</v>
      </c>
      <c r="T97" s="65" t="s">
        <v>343</v>
      </c>
      <c r="U97" s="66" t="s">
        <v>344</v>
      </c>
      <c r="V97" s="67" t="s">
        <v>345</v>
      </c>
      <c r="W97" s="68" t="s">
        <v>346</v>
      </c>
      <c r="X97" s="69" t="s">
        <v>336</v>
      </c>
      <c r="Y97" s="65" t="s">
        <v>343</v>
      </c>
      <c r="Z97" s="66" t="s">
        <v>344</v>
      </c>
      <c r="AA97" s="67" t="s">
        <v>345</v>
      </c>
      <c r="AB97" s="68" t="s">
        <v>346</v>
      </c>
      <c r="AC97" s="69" t="s">
        <v>336</v>
      </c>
      <c r="AD97" s="65" t="s">
        <v>343</v>
      </c>
      <c r="AE97" s="66" t="s">
        <v>344</v>
      </c>
      <c r="AF97" s="67" t="s">
        <v>345</v>
      </c>
      <c r="AG97" s="68" t="s">
        <v>346</v>
      </c>
      <c r="AH97" s="69" t="s">
        <v>336</v>
      </c>
    </row>
    <row r="98" spans="1:36">
      <c r="A98" s="4" t="s">
        <v>27</v>
      </c>
      <c r="B98" s="6">
        <v>98136</v>
      </c>
      <c r="C98" s="2" t="s">
        <v>247</v>
      </c>
      <c r="D98" s="8">
        <v>2772</v>
      </c>
      <c r="E98" s="2" t="s">
        <v>248</v>
      </c>
      <c r="F98" s="147">
        <v>0</v>
      </c>
      <c r="G98" s="145" t="s">
        <v>180</v>
      </c>
      <c r="I98" s="76" t="s">
        <v>342</v>
      </c>
      <c r="J98" s="104">
        <f>480*J90*$AK$25*1</f>
        <v>749760</v>
      </c>
      <c r="K98" s="100">
        <f>480*K90*$AK$25*3.5</f>
        <v>3280200</v>
      </c>
      <c r="L98" s="100">
        <f>480*L90*$AK$25*6.5</f>
        <v>12729912.000000002</v>
      </c>
      <c r="M98" s="100">
        <f>480*M90*$AK$25*12</f>
        <v>23099904.000000004</v>
      </c>
      <c r="N98" s="105">
        <f>SUM(J98:M98)</f>
        <v>39859776.000000007</v>
      </c>
      <c r="O98" s="104">
        <f>480*O90*$AL$25*1</f>
        <v>720462.44928909955</v>
      </c>
      <c r="P98" s="100">
        <f>480*P90*$AL$25*3.5</f>
        <v>3152023.2156398105</v>
      </c>
      <c r="Q98" s="100">
        <f>480*Q90*$AL$25*6.5</f>
        <v>12232479.165005736</v>
      </c>
      <c r="R98" s="100">
        <f>480*R90*$AL$25*12</f>
        <v>22197254.340299658</v>
      </c>
      <c r="S98" s="105">
        <f>SUM(O98:R98)</f>
        <v>38302219.170234308</v>
      </c>
      <c r="T98" s="104">
        <f>480*T90*$AM$25*1</f>
        <v>673686.02085308079</v>
      </c>
      <c r="U98" s="100">
        <f>480*U90*$AM$25*3.5</f>
        <v>2947376.3412322276</v>
      </c>
      <c r="V98" s="100">
        <f>480*V90*$AM$25*6.5</f>
        <v>11438278.597270969</v>
      </c>
      <c r="W98" s="100">
        <f>480*W90*$AM$25*12</f>
        <v>20756085.157714687</v>
      </c>
      <c r="X98" s="105">
        <f>SUM(T98:W98)</f>
        <v>35815426.117070965</v>
      </c>
      <c r="Y98" s="104">
        <f>480*Y90*$AN$25*1</f>
        <v>609782.71469194314</v>
      </c>
      <c r="Z98" s="100">
        <f>480*Z90*$AN$25*3.5</f>
        <v>2667799.3767772508</v>
      </c>
      <c r="AA98" s="100">
        <f>480*AA90*$AN$25*6.5</f>
        <v>10353286.781302745</v>
      </c>
      <c r="AB98" s="100">
        <f>480*AB90*$AN$25*12</f>
        <v>18787241.477597199</v>
      </c>
      <c r="AC98" s="105">
        <f>SUM(Y98:AB98)</f>
        <v>32418110.350369137</v>
      </c>
      <c r="AD98" s="104">
        <f>480*AD90*$AO$25*1</f>
        <v>530641.78523229784</v>
      </c>
      <c r="AE98" s="100">
        <f>480*AE90*$AO$25*3.5</f>
        <v>2321557.8103913032</v>
      </c>
      <c r="AF98" s="100">
        <f>480*AF90*$AO$25*6.5</f>
        <v>9009580.7051990665</v>
      </c>
      <c r="AG98" s="100">
        <f>480*AG90*$AO$25*12</f>
        <v>16348930.720836934</v>
      </c>
      <c r="AH98" s="105">
        <f>SUM(AD98:AG98)</f>
        <v>28210711.021659601</v>
      </c>
    </row>
    <row r="99" spans="1:36">
      <c r="A99" s="4" t="s">
        <v>31</v>
      </c>
      <c r="B99" s="6">
        <v>427325</v>
      </c>
      <c r="C99" s="2" t="s">
        <v>249</v>
      </c>
      <c r="D99" s="8">
        <v>12026</v>
      </c>
      <c r="E99" s="2" t="s">
        <v>250</v>
      </c>
      <c r="F99" s="147">
        <v>0</v>
      </c>
      <c r="G99" s="145" t="s">
        <v>180</v>
      </c>
      <c r="I99" s="77" t="s">
        <v>333</v>
      </c>
      <c r="J99" s="104">
        <f>480*J91*$AK$25*1</f>
        <v>36240</v>
      </c>
      <c r="K99" s="100">
        <f>480*K91*$AK$25*3.5</f>
        <v>384888.00000000006</v>
      </c>
      <c r="L99" s="100">
        <f>480*L91*$AK$25*6.5</f>
        <v>2197727.9999999995</v>
      </c>
      <c r="M99" s="100">
        <f>480*M91*$AK$25*12</f>
        <v>984959.99999999977</v>
      </c>
      <c r="N99" s="105">
        <f t="shared" ref="N99:N102" si="142">SUM(J99:M99)</f>
        <v>3603815.9999999991</v>
      </c>
      <c r="O99" s="104">
        <f>480*O91*$AL$25*1</f>
        <v>67232.404851993342</v>
      </c>
      <c r="P99" s="100">
        <f>480*P91*$AL$25*3.5</f>
        <v>714043.75934530946</v>
      </c>
      <c r="Q99" s="100">
        <f>480*Q91*$AL$25*6.5</f>
        <v>4077222.3689448559</v>
      </c>
      <c r="R99" s="100">
        <f>480*R91*$AL$25*12</f>
        <v>1827296.6192886131</v>
      </c>
      <c r="S99" s="105">
        <f>SUM(O99:R99)</f>
        <v>6685795.1524307719</v>
      </c>
      <c r="T99" s="104">
        <f>480*T91*$AM$25*1</f>
        <v>102933.63962759612</v>
      </c>
      <c r="U99" s="100">
        <f>480*U91*$AM$25*3.5</f>
        <v>1093209.7872236816</v>
      </c>
      <c r="V99" s="100">
        <f>480*V91*$AM$25*6.5</f>
        <v>6242277.6476677014</v>
      </c>
      <c r="W99" s="100">
        <f>480*W91*$AM$25*12</f>
        <v>2797613.622726188</v>
      </c>
      <c r="X99" s="105">
        <f t="shared" ref="X99:X102" si="143">SUM(T99:W99)</f>
        <v>10236034.697245166</v>
      </c>
      <c r="Y99" s="104">
        <f>480*Y91*$AN$25*1</f>
        <v>143360.71841131538</v>
      </c>
      <c r="Z99" s="100">
        <f>480*Z91*$AN$25*3.5</f>
        <v>1522566.7822266656</v>
      </c>
      <c r="AA99" s="100">
        <f>480*AA91*$AN$25*6.5</f>
        <v>8693925.6333516352</v>
      </c>
      <c r="AB99" s="100">
        <f>480*AB91*$AN$25*12</f>
        <v>3896373.4328479338</v>
      </c>
      <c r="AC99" s="105">
        <f t="shared" ref="AC99:AC102" si="144">SUM(Y99:AB99)</f>
        <v>14256226.566837551</v>
      </c>
      <c r="AD99" s="104">
        <f>480*AD91*$AO$25*1</f>
        <v>189187.20815625277</v>
      </c>
      <c r="AE99" s="100">
        <f>480*AE91*$AO$25*3.5</f>
        <v>2009268.3822528645</v>
      </c>
      <c r="AF99" s="100">
        <f>480*AF91*$AO$25*6.5</f>
        <v>11473013.924029386</v>
      </c>
      <c r="AG99" s="100">
        <f>480*AG91*$AO$25*12</f>
        <v>5141882.7965116622</v>
      </c>
      <c r="AH99" s="105">
        <f t="shared" ref="AH99:AH102" si="145">SUM(AD99:AG99)</f>
        <v>18813352.310950164</v>
      </c>
    </row>
    <row r="100" spans="1:36">
      <c r="A100" s="4" t="s">
        <v>35</v>
      </c>
      <c r="B100" s="6">
        <v>316139</v>
      </c>
      <c r="C100" s="2" t="s">
        <v>251</v>
      </c>
      <c r="D100" s="8">
        <v>11750</v>
      </c>
      <c r="E100" s="2" t="s">
        <v>252</v>
      </c>
      <c r="F100" s="147">
        <v>0</v>
      </c>
      <c r="G100" s="145" t="s">
        <v>180</v>
      </c>
      <c r="I100" s="76" t="s">
        <v>334</v>
      </c>
      <c r="J100" s="104">
        <f>480*J92*$AK$25*1</f>
        <v>53375.999999999993</v>
      </c>
      <c r="K100" s="100">
        <f>480*K92*$AK$25*3.5</f>
        <v>680063.99999999977</v>
      </c>
      <c r="L100" s="100">
        <f>480*L92*$AK$25*6.5</f>
        <v>0</v>
      </c>
      <c r="M100" s="100">
        <f>480*M92*$AK$25*12</f>
        <v>0</v>
      </c>
      <c r="N100" s="105">
        <f t="shared" si="142"/>
        <v>733439.99999999977</v>
      </c>
      <c r="O100" s="104">
        <f>480*O92*$AL$25*1</f>
        <v>85896.079410415987</v>
      </c>
      <c r="P100" s="100">
        <f>480*P92*$AL$25*3.5</f>
        <v>1094402.5657255161</v>
      </c>
      <c r="Q100" s="100">
        <f>480*Q92*$AL$25*6.5</f>
        <v>0</v>
      </c>
      <c r="R100" s="100">
        <f>480*R92*$AL$25*12</f>
        <v>0</v>
      </c>
      <c r="S100" s="105">
        <f>SUM(O100:R100)</f>
        <v>1180298.6451359321</v>
      </c>
      <c r="T100" s="104">
        <f>480*T92*$AM$25*1</f>
        <v>123102.03989081782</v>
      </c>
      <c r="U100" s="100">
        <f>480*U92*$AM$25*3.5</f>
        <v>1568443.9758750959</v>
      </c>
      <c r="V100" s="100">
        <f>480*V92*$AM$25*6.5</f>
        <v>0</v>
      </c>
      <c r="W100" s="100">
        <f>480*W92*$AM$25*12</f>
        <v>0</v>
      </c>
      <c r="X100" s="105">
        <f t="shared" si="143"/>
        <v>1691546.0157659138</v>
      </c>
      <c r="Y100" s="104">
        <f>480*Y92*$AN$25*1</f>
        <v>165018.94059613498</v>
      </c>
      <c r="Z100" s="100">
        <f>480*Z92*$AN$25*3.5</f>
        <v>2102507.5093219783</v>
      </c>
      <c r="AA100" s="100">
        <f>480*AA92*$AN$25*6.5</f>
        <v>0</v>
      </c>
      <c r="AB100" s="100">
        <f>480*AB92*$AN$25*12</f>
        <v>0</v>
      </c>
      <c r="AC100" s="105">
        <f t="shared" si="144"/>
        <v>2267526.4499181132</v>
      </c>
      <c r="AD100" s="104">
        <f>480*AD92*$AO$25*1</f>
        <v>212403.00413634224</v>
      </c>
      <c r="AE100" s="100">
        <f>480*AE92*$AO$25*3.5</f>
        <v>2706228.2037803023</v>
      </c>
      <c r="AF100" s="100">
        <f>480*AF92*$AO$25*6.5</f>
        <v>0</v>
      </c>
      <c r="AG100" s="100">
        <f>480*AG92*$AO$25*12</f>
        <v>0</v>
      </c>
      <c r="AH100" s="105">
        <f t="shared" si="145"/>
        <v>2918631.2079166444</v>
      </c>
    </row>
    <row r="101" spans="1:36">
      <c r="A101" s="4" t="s">
        <v>39</v>
      </c>
      <c r="B101" s="6">
        <v>520943</v>
      </c>
      <c r="C101" s="2" t="s">
        <v>253</v>
      </c>
      <c r="D101" s="8">
        <v>18095</v>
      </c>
      <c r="E101" s="2" t="s">
        <v>254</v>
      </c>
      <c r="F101" s="147">
        <v>0</v>
      </c>
      <c r="G101" s="145" t="s">
        <v>180</v>
      </c>
      <c r="I101" s="76" t="s">
        <v>335</v>
      </c>
      <c r="J101" s="104">
        <f>480*J93*$AK$25*1</f>
        <v>755520.00000000035</v>
      </c>
      <c r="K101" s="100">
        <f>480*K93*$AK$25*3.5</f>
        <v>0</v>
      </c>
      <c r="L101" s="100">
        <f>480*L93*$AK$25*6.5</f>
        <v>0</v>
      </c>
      <c r="M101" s="100">
        <f>480*M93*$AK$25*12</f>
        <v>0</v>
      </c>
      <c r="N101" s="105">
        <f t="shared" si="142"/>
        <v>755520.00000000035</v>
      </c>
      <c r="O101" s="104">
        <f>480*O93*$AL$25*1</f>
        <v>1010670.3042253525</v>
      </c>
      <c r="P101" s="100">
        <f>480*P93*$AL$25*3.5</f>
        <v>0</v>
      </c>
      <c r="Q101" s="100">
        <f>480*Q93*$AL$25*6.5</f>
        <v>0</v>
      </c>
      <c r="R101" s="100">
        <f>480*R93*$AL$25*12</f>
        <v>0</v>
      </c>
      <c r="S101" s="105">
        <f>SUM(O101:R101)</f>
        <v>1010670.3042253525</v>
      </c>
      <c r="T101" s="104">
        <f>480*T93*$AM$25*1</f>
        <v>1296990.3774647892</v>
      </c>
      <c r="U101" s="100">
        <f>480*U93*$AM$25*3.5</f>
        <v>0</v>
      </c>
      <c r="V101" s="100">
        <f>480*V93*$AM$25*6.5</f>
        <v>0</v>
      </c>
      <c r="W101" s="100">
        <f>480*W93*$AM$25*12</f>
        <v>0</v>
      </c>
      <c r="X101" s="105">
        <f t="shared" si="143"/>
        <v>1296990.3774647892</v>
      </c>
      <c r="Y101" s="104">
        <f>480*Y93*$AN$25*1</f>
        <v>1614834.9239436619</v>
      </c>
      <c r="Z101" s="100">
        <f>480*Z93*$AN$25*3.5</f>
        <v>0</v>
      </c>
      <c r="AA101" s="100">
        <f>480*AA93*$AN$25*6.5</f>
        <v>0</v>
      </c>
      <c r="AB101" s="100">
        <f>480*AB93*$AN$25*12</f>
        <v>0</v>
      </c>
      <c r="AC101" s="105">
        <f t="shared" si="144"/>
        <v>1614834.9239436619</v>
      </c>
      <c r="AD101" s="104">
        <f>480*AD93*$AO$25*1</f>
        <v>1971222.1247185711</v>
      </c>
      <c r="AE101" s="100">
        <f>480*AE93*$AO$25*3.5</f>
        <v>0</v>
      </c>
      <c r="AF101" s="100">
        <f>480*AF93*$AO$25*6.5</f>
        <v>0</v>
      </c>
      <c r="AG101" s="100">
        <f>480*AG93*$AO$25*12</f>
        <v>0</v>
      </c>
      <c r="AH101" s="105">
        <f t="shared" si="145"/>
        <v>1971222.1247185711</v>
      </c>
    </row>
    <row r="102" spans="1:36" ht="13.5" thickBot="1">
      <c r="A102" s="4" t="s">
        <v>43</v>
      </c>
      <c r="B102" s="6">
        <v>792879</v>
      </c>
      <c r="C102" s="2" t="s">
        <v>255</v>
      </c>
      <c r="D102" s="8">
        <v>22694</v>
      </c>
      <c r="E102" s="2" t="s">
        <v>256</v>
      </c>
      <c r="F102" s="147">
        <v>0</v>
      </c>
      <c r="G102" s="145" t="s">
        <v>180</v>
      </c>
      <c r="I102" s="78" t="s">
        <v>336</v>
      </c>
      <c r="J102" s="106">
        <f>480*J94*$AK$25*1</f>
        <v>1594896.0000000002</v>
      </c>
      <c r="K102" s="107">
        <f>480*K94*$AK$25*3.5</f>
        <v>4345151.9999999991</v>
      </c>
      <c r="L102" s="107">
        <f>480*L94*$AK$25*6.5</f>
        <v>14927640</v>
      </c>
      <c r="M102" s="107">
        <f>480*M94*$AK$25*12</f>
        <v>24084864.000000004</v>
      </c>
      <c r="N102" s="108">
        <f t="shared" si="142"/>
        <v>44952552</v>
      </c>
      <c r="O102" s="106">
        <f>480*O94*$AL$25*1</f>
        <v>1745175.6371830988</v>
      </c>
      <c r="P102" s="107">
        <f>480*P94*$AL$25*3.5</f>
        <v>4754575.477183098</v>
      </c>
      <c r="Q102" s="107">
        <f>480*Q94*$AL$25*6.5</f>
        <v>16334202.135211267</v>
      </c>
      <c r="R102" s="107">
        <f>480*R94*$AL$25*12</f>
        <v>26354268.79098592</v>
      </c>
      <c r="S102" s="108">
        <f>SUM(O102:R102)</f>
        <v>49188222.040563382</v>
      </c>
      <c r="T102" s="106">
        <f>480*T94*$AM$25*1</f>
        <v>1894706.496901409</v>
      </c>
      <c r="U102" s="107">
        <f>480*U94*$AM$25*3.5</f>
        <v>5161958.9769014074</v>
      </c>
      <c r="V102" s="107">
        <f>480*V94*$AM$25*6.5</f>
        <v>17733755.988732398</v>
      </c>
      <c r="W102" s="107">
        <f>480*W94*$AM$25*12</f>
        <v>28612366.134084515</v>
      </c>
      <c r="X102" s="108">
        <f t="shared" si="143"/>
        <v>53402787.596619725</v>
      </c>
      <c r="Y102" s="106">
        <f>480*Y94*$AN$25*1</f>
        <v>2044237.3566197187</v>
      </c>
      <c r="Z102" s="107">
        <f>480*Z94*$AN$25*3.5</f>
        <v>5569342.4766197167</v>
      </c>
      <c r="AA102" s="107">
        <f>480*AA94*$AN$25*6.5</f>
        <v>19133309.842253517</v>
      </c>
      <c r="AB102" s="107">
        <f>480*AB94*$AN$25*12</f>
        <v>30870463.477183104</v>
      </c>
      <c r="AC102" s="108">
        <f t="shared" si="144"/>
        <v>57617353.152676061</v>
      </c>
      <c r="AD102" s="106">
        <f>480*AD94*$AO$25*1</f>
        <v>2201606.6399335791</v>
      </c>
      <c r="AE102" s="107">
        <f>480*AE94*$AO$25*3.5</f>
        <v>5998081.0627907198</v>
      </c>
      <c r="AF102" s="107">
        <f>480*AF94*$AO$25*6.5</f>
        <v>20606228.457866896</v>
      </c>
      <c r="AG102" s="107">
        <f>480*AG94*$AO$25*12</f>
        <v>33246930.523555905</v>
      </c>
      <c r="AH102" s="108">
        <f t="shared" si="145"/>
        <v>62052846.684147097</v>
      </c>
    </row>
    <row r="103" spans="1:36">
      <c r="A103" s="4" t="s">
        <v>257</v>
      </c>
      <c r="B103" s="6">
        <v>791189</v>
      </c>
      <c r="C103" s="2" t="s">
        <v>258</v>
      </c>
      <c r="D103" s="8">
        <v>11256</v>
      </c>
      <c r="E103" s="2" t="s">
        <v>259</v>
      </c>
      <c r="F103" s="147">
        <v>0</v>
      </c>
      <c r="G103" s="145" t="s">
        <v>180</v>
      </c>
    </row>
    <row r="104" spans="1:36" ht="13.5" thickBot="1">
      <c r="A104" s="4" t="s">
        <v>11</v>
      </c>
      <c r="B104" s="6">
        <v>4908</v>
      </c>
      <c r="C104" s="2" t="s">
        <v>260</v>
      </c>
      <c r="D104" s="7">
        <v>95</v>
      </c>
      <c r="E104" s="2" t="s">
        <v>261</v>
      </c>
      <c r="F104" s="147">
        <v>0</v>
      </c>
      <c r="G104" s="145" t="s">
        <v>180</v>
      </c>
      <c r="I104" s="13" t="s">
        <v>364</v>
      </c>
      <c r="J104" s="134"/>
      <c r="K104" s="134"/>
      <c r="L104" s="134"/>
      <c r="M104" s="134"/>
      <c r="N104" s="134"/>
      <c r="P104" s="13" t="s">
        <v>366</v>
      </c>
      <c r="Q104" s="123"/>
      <c r="R104" s="123"/>
      <c r="S104" s="123"/>
      <c r="T104" s="123"/>
      <c r="U104" s="123"/>
      <c r="W104" s="13" t="s">
        <v>369</v>
      </c>
      <c r="X104" s="123"/>
      <c r="Y104" s="123"/>
      <c r="Z104" s="123"/>
      <c r="AA104" s="123"/>
      <c r="AB104" s="123"/>
      <c r="AD104" s="13" t="s">
        <v>379</v>
      </c>
      <c r="AE104" s="123"/>
      <c r="AF104" s="123"/>
      <c r="AG104" s="123"/>
      <c r="AH104" s="123"/>
      <c r="AI104" s="123"/>
    </row>
    <row r="105" spans="1:36">
      <c r="A105" s="4" t="s">
        <v>15</v>
      </c>
      <c r="B105" s="6">
        <v>4284</v>
      </c>
      <c r="C105" s="2" t="s">
        <v>262</v>
      </c>
      <c r="D105" s="7">
        <v>71</v>
      </c>
      <c r="E105" s="2" t="s">
        <v>263</v>
      </c>
      <c r="F105" s="147">
        <v>0</v>
      </c>
      <c r="G105" s="145" t="s">
        <v>180</v>
      </c>
      <c r="I105" s="75"/>
      <c r="J105" s="110">
        <v>2011</v>
      </c>
      <c r="K105" s="111">
        <v>2020</v>
      </c>
      <c r="L105" s="111">
        <v>2030</v>
      </c>
      <c r="M105" s="111">
        <v>2040</v>
      </c>
      <c r="N105" s="109">
        <v>2050</v>
      </c>
      <c r="P105" s="119"/>
      <c r="Q105" s="111">
        <v>2011</v>
      </c>
      <c r="R105" s="111">
        <v>2020</v>
      </c>
      <c r="S105" s="111">
        <v>2030</v>
      </c>
      <c r="T105" s="111">
        <v>2040</v>
      </c>
      <c r="U105" s="109">
        <v>2050</v>
      </c>
      <c r="W105" s="119"/>
      <c r="X105" s="111">
        <v>2011</v>
      </c>
      <c r="Y105" s="111">
        <v>2020</v>
      </c>
      <c r="Z105" s="111">
        <v>2030</v>
      </c>
      <c r="AA105" s="111">
        <v>2040</v>
      </c>
      <c r="AB105" s="109">
        <v>2050</v>
      </c>
      <c r="AD105" s="119"/>
      <c r="AE105" s="111">
        <v>2011</v>
      </c>
      <c r="AF105" s="111">
        <v>2020</v>
      </c>
      <c r="AG105" s="111">
        <v>2030</v>
      </c>
      <c r="AH105" s="111">
        <v>2040</v>
      </c>
      <c r="AI105" s="109">
        <v>2050</v>
      </c>
    </row>
    <row r="106" spans="1:36">
      <c r="A106" s="4" t="s">
        <v>19</v>
      </c>
      <c r="B106" s="6">
        <v>6763</v>
      </c>
      <c r="C106" s="2" t="s">
        <v>264</v>
      </c>
      <c r="D106" s="7">
        <v>74</v>
      </c>
      <c r="E106" s="2" t="s">
        <v>265</v>
      </c>
      <c r="F106" s="147">
        <v>0</v>
      </c>
      <c r="G106" s="145" t="s">
        <v>281</v>
      </c>
      <c r="I106" s="76" t="s">
        <v>342</v>
      </c>
      <c r="J106" s="104">
        <f>N98</f>
        <v>39859776.000000007</v>
      </c>
      <c r="K106" s="100">
        <f>S98</f>
        <v>38302219.170234308</v>
      </c>
      <c r="L106" s="100">
        <f>X98</f>
        <v>35815426.117070965</v>
      </c>
      <c r="M106" s="100">
        <f>AC98</f>
        <v>32418110.350369137</v>
      </c>
      <c r="N106" s="105">
        <f>AH98</f>
        <v>28210711.021659601</v>
      </c>
      <c r="P106" s="120" t="s">
        <v>342</v>
      </c>
      <c r="Q106" s="100">
        <f>J106/1.07</f>
        <v>37252127.102803744</v>
      </c>
      <c r="R106" s="100">
        <f t="shared" ref="R106" si="146">K106/1.07</f>
        <v>35796466.514237672</v>
      </c>
      <c r="S106" s="100">
        <f t="shared" ref="S106" si="147">L106/1.07</f>
        <v>33472360.857075665</v>
      </c>
      <c r="T106" s="100">
        <f t="shared" ref="T106" si="148">M106/1.07</f>
        <v>30297299.392868351</v>
      </c>
      <c r="U106" s="105">
        <f t="shared" ref="U106" si="149">N106/1.07</f>
        <v>26365150.487532336</v>
      </c>
      <c r="W106" s="120" t="s">
        <v>342</v>
      </c>
      <c r="X106" s="100">
        <f>$Q$53-Q106</f>
        <v>0</v>
      </c>
      <c r="Y106" s="100">
        <f>$R$53-R106</f>
        <v>4965755.3817739189</v>
      </c>
      <c r="Z106" s="100">
        <f>$S$53-S106</f>
        <v>10782466.57059316</v>
      </c>
      <c r="AA106" s="100">
        <f>$T$53-T106</f>
        <v>17450133.5664577</v>
      </c>
      <c r="AB106" s="100">
        <f>$U$53-U106</f>
        <v>25057970.757478211</v>
      </c>
      <c r="AD106" s="120" t="s">
        <v>342</v>
      </c>
      <c r="AE106" s="100">
        <f>Q106/0.22</f>
        <v>169327850.46728975</v>
      </c>
      <c r="AF106" s="100">
        <f t="shared" ref="AF106:AF107" si="150">R106/0.22</f>
        <v>162711211.42835304</v>
      </c>
      <c r="AG106" s="100">
        <f t="shared" ref="AG106:AG107" si="151">S106/0.22</f>
        <v>152147094.80488938</v>
      </c>
      <c r="AH106" s="100">
        <f t="shared" ref="AH106:AH107" si="152">T106/0.22</f>
        <v>137714997.2403107</v>
      </c>
      <c r="AI106" s="100">
        <f t="shared" ref="AI106:AI107" si="153">U106/0.22</f>
        <v>119841593.12514699</v>
      </c>
    </row>
    <row r="107" spans="1:36">
      <c r="A107" s="4" t="s">
        <v>23</v>
      </c>
      <c r="B107" s="6">
        <v>13218</v>
      </c>
      <c r="C107" s="2" t="s">
        <v>266</v>
      </c>
      <c r="D107" s="7">
        <v>109</v>
      </c>
      <c r="E107" s="2" t="s">
        <v>267</v>
      </c>
      <c r="F107" s="147">
        <v>0</v>
      </c>
      <c r="G107" s="145" t="s">
        <v>284</v>
      </c>
      <c r="I107" s="77" t="s">
        <v>333</v>
      </c>
      <c r="J107" s="104">
        <f t="shared" ref="J107:J110" si="154">N99</f>
        <v>3603815.9999999991</v>
      </c>
      <c r="K107" s="100">
        <f t="shared" ref="K107:K110" si="155">S99</f>
        <v>6685795.1524307719</v>
      </c>
      <c r="L107" s="100">
        <f t="shared" ref="L107:L110" si="156">X99</f>
        <v>10236034.697245166</v>
      </c>
      <c r="M107" s="100">
        <f t="shared" ref="M107:M110" si="157">AC99</f>
        <v>14256226.566837551</v>
      </c>
      <c r="N107" s="105">
        <f t="shared" ref="N107:N110" si="158">AH99</f>
        <v>18813352.310950164</v>
      </c>
      <c r="P107" s="121" t="s">
        <v>333</v>
      </c>
      <c r="Q107" s="100">
        <f>J107/20</f>
        <v>180190.79999999996</v>
      </c>
      <c r="R107" s="100">
        <f t="shared" ref="R107" si="159">K107/20</f>
        <v>334289.75762153859</v>
      </c>
      <c r="S107" s="100">
        <f t="shared" ref="S107" si="160">L107/20</f>
        <v>511801.73486225831</v>
      </c>
      <c r="T107" s="100">
        <f t="shared" ref="T107" si="161">M107/20</f>
        <v>712811.32834187755</v>
      </c>
      <c r="U107" s="105">
        <f t="shared" ref="U107" si="162">N107/20</f>
        <v>940667.61554750823</v>
      </c>
      <c r="W107" s="121" t="s">
        <v>333</v>
      </c>
      <c r="X107" s="100">
        <f>$Q$54-Q107</f>
        <v>0</v>
      </c>
      <c r="Y107" s="128">
        <f>$R$54-R107</f>
        <v>-137120.41604407385</v>
      </c>
      <c r="Z107" s="128">
        <f>$S$54-S107</f>
        <v>-297738.44832704705</v>
      </c>
      <c r="AA107" s="128">
        <f>$T$54-T107</f>
        <v>-481854.09684891987</v>
      </c>
      <c r="AB107" s="128">
        <f>$U$54-U107</f>
        <v>-691930.85670245287</v>
      </c>
      <c r="AD107" s="121" t="s">
        <v>333</v>
      </c>
      <c r="AE107" s="100">
        <f>Q107/0.22</f>
        <v>819049.09090909071</v>
      </c>
      <c r="AF107" s="100">
        <f t="shared" si="150"/>
        <v>1519498.8982797209</v>
      </c>
      <c r="AG107" s="100">
        <f t="shared" si="151"/>
        <v>2326371.5221011741</v>
      </c>
      <c r="AH107" s="100">
        <f t="shared" si="152"/>
        <v>3240051.4924630797</v>
      </c>
      <c r="AI107" s="100">
        <f t="shared" si="153"/>
        <v>4275761.8888523104</v>
      </c>
      <c r="AJ107" s="63" t="s">
        <v>384</v>
      </c>
    </row>
    <row r="108" spans="1:36" ht="13.5" thickBot="1">
      <c r="A108" s="4" t="s">
        <v>27</v>
      </c>
      <c r="B108" s="6">
        <v>9034</v>
      </c>
      <c r="C108" s="2" t="s">
        <v>268</v>
      </c>
      <c r="D108" s="7">
        <v>99</v>
      </c>
      <c r="E108" s="2" t="s">
        <v>269</v>
      </c>
      <c r="F108" s="147">
        <v>0</v>
      </c>
      <c r="G108" s="145" t="s">
        <v>287</v>
      </c>
      <c r="I108" s="76" t="s">
        <v>334</v>
      </c>
      <c r="J108" s="104">
        <f t="shared" si="154"/>
        <v>733439.99999999977</v>
      </c>
      <c r="K108" s="100">
        <f t="shared" si="155"/>
        <v>1180298.6451359321</v>
      </c>
      <c r="L108" s="100">
        <f t="shared" si="156"/>
        <v>1691546.0157659138</v>
      </c>
      <c r="M108" s="100">
        <f t="shared" si="157"/>
        <v>2267526.4499181132</v>
      </c>
      <c r="N108" s="105">
        <f t="shared" si="158"/>
        <v>2918631.2079166444</v>
      </c>
      <c r="P108" s="122" t="s">
        <v>336</v>
      </c>
      <c r="Q108" s="107">
        <f>SUM(Q106:Q107)</f>
        <v>37432317.902803741</v>
      </c>
      <c r="R108" s="107">
        <f t="shared" ref="R108" si="163">SUM(R106:R107)</f>
        <v>36130756.271859214</v>
      </c>
      <c r="S108" s="107">
        <f t="shared" ref="S108" si="164">SUM(S106:S107)</f>
        <v>33984162.591937922</v>
      </c>
      <c r="T108" s="107">
        <f t="shared" ref="T108" si="165">SUM(T106:T107)</f>
        <v>31010110.72121023</v>
      </c>
      <c r="U108" s="108">
        <f t="shared" ref="U108" si="166">SUM(U106:U107)</f>
        <v>27305818.103079844</v>
      </c>
      <c r="W108" s="122" t="s">
        <v>336</v>
      </c>
      <c r="X108" s="107">
        <f>SUM(X106:X107)</f>
        <v>0</v>
      </c>
      <c r="Y108" s="107">
        <f t="shared" ref="Y108" si="167">SUM(Y106:Y107)</f>
        <v>4828634.9657298448</v>
      </c>
      <c r="Z108" s="107">
        <f t="shared" ref="Z108" si="168">SUM(Z106:Z107)</f>
        <v>10484728.122266112</v>
      </c>
      <c r="AA108" s="107">
        <f t="shared" ref="AA108" si="169">SUM(AA106:AA107)</f>
        <v>16968279.46960878</v>
      </c>
      <c r="AB108" s="108">
        <f t="shared" ref="AB108" si="170">SUM(AB106:AB107)</f>
        <v>24366039.900775757</v>
      </c>
      <c r="AD108" s="122" t="s">
        <v>336</v>
      </c>
      <c r="AE108" s="107">
        <f>SUM(AE106:AE107)</f>
        <v>170146899.55819884</v>
      </c>
      <c r="AF108" s="107">
        <f t="shared" ref="AF108" si="171">SUM(AF106:AF107)</f>
        <v>164230710.32663277</v>
      </c>
      <c r="AG108" s="107">
        <f t="shared" ref="AG108" si="172">SUM(AG106:AG107)</f>
        <v>154473466.32699054</v>
      </c>
      <c r="AH108" s="107">
        <f t="shared" ref="AH108" si="173">SUM(AH106:AH107)</f>
        <v>140955048.73277378</v>
      </c>
      <c r="AI108" s="108">
        <f t="shared" ref="AI108" si="174">SUM(AI106:AI107)</f>
        <v>124117355.0139993</v>
      </c>
    </row>
    <row r="109" spans="1:36">
      <c r="A109" s="4" t="s">
        <v>31</v>
      </c>
      <c r="B109" s="6">
        <v>45361</v>
      </c>
      <c r="C109" s="2" t="s">
        <v>270</v>
      </c>
      <c r="D109" s="7">
        <v>325</v>
      </c>
      <c r="E109" s="2" t="s">
        <v>271</v>
      </c>
      <c r="F109" s="147">
        <v>0</v>
      </c>
      <c r="G109" s="145" t="s">
        <v>290</v>
      </c>
      <c r="I109" s="76" t="s">
        <v>335</v>
      </c>
      <c r="J109" s="104">
        <f t="shared" si="154"/>
        <v>755520.00000000035</v>
      </c>
      <c r="K109" s="100">
        <f t="shared" si="155"/>
        <v>1010670.3042253525</v>
      </c>
      <c r="L109" s="100">
        <f t="shared" si="156"/>
        <v>1296990.3774647892</v>
      </c>
      <c r="M109" s="100">
        <f t="shared" si="157"/>
        <v>1614834.9239436619</v>
      </c>
      <c r="N109" s="105">
        <f t="shared" si="158"/>
        <v>1971222.1247185711</v>
      </c>
    </row>
    <row r="110" spans="1:36" ht="13.5" thickBot="1">
      <c r="A110" s="4" t="s">
        <v>35</v>
      </c>
      <c r="B110" s="6">
        <v>52044</v>
      </c>
      <c r="C110" s="2" t="s">
        <v>272</v>
      </c>
      <c r="D110" s="7">
        <v>491</v>
      </c>
      <c r="E110" s="2" t="s">
        <v>273</v>
      </c>
      <c r="F110" s="147">
        <v>0</v>
      </c>
      <c r="G110" s="145" t="s">
        <v>267</v>
      </c>
      <c r="I110" s="78" t="s">
        <v>336</v>
      </c>
      <c r="J110" s="104">
        <f t="shared" si="154"/>
        <v>44952552</v>
      </c>
      <c r="K110" s="100">
        <f t="shared" si="155"/>
        <v>49188222.040563382</v>
      </c>
      <c r="L110" s="100">
        <f t="shared" si="156"/>
        <v>53402787.596619725</v>
      </c>
      <c r="M110" s="100">
        <f t="shared" si="157"/>
        <v>57617353.152676061</v>
      </c>
      <c r="N110" s="105">
        <f t="shared" si="158"/>
        <v>62052846.684147097</v>
      </c>
      <c r="P110" s="13" t="s">
        <v>370</v>
      </c>
      <c r="Q110" s="123"/>
      <c r="R110" s="123"/>
      <c r="S110" s="123"/>
      <c r="T110" s="123"/>
      <c r="U110" s="123"/>
      <c r="W110" s="13" t="s">
        <v>371</v>
      </c>
      <c r="AD110" s="13" t="s">
        <v>380</v>
      </c>
    </row>
    <row r="111" spans="1:36">
      <c r="A111" s="4" t="s">
        <v>39</v>
      </c>
      <c r="B111" s="6">
        <v>119946</v>
      </c>
      <c r="C111" s="2" t="s">
        <v>274</v>
      </c>
      <c r="D111" s="8">
        <v>1537</v>
      </c>
      <c r="E111" s="2" t="s">
        <v>275</v>
      </c>
      <c r="F111" s="147">
        <v>0</v>
      </c>
      <c r="G111" s="145" t="s">
        <v>294</v>
      </c>
      <c r="P111" s="119"/>
      <c r="Q111" s="111">
        <v>2011</v>
      </c>
      <c r="R111" s="111">
        <v>2020</v>
      </c>
      <c r="S111" s="111">
        <v>2030</v>
      </c>
      <c r="T111" s="111">
        <v>2040</v>
      </c>
      <c r="U111" s="109">
        <v>2050</v>
      </c>
      <c r="W111" s="119"/>
      <c r="X111" s="111">
        <v>2011</v>
      </c>
      <c r="Y111" s="111">
        <v>2020</v>
      </c>
      <c r="Z111" s="111">
        <v>2030</v>
      </c>
      <c r="AA111" s="111">
        <v>2040</v>
      </c>
      <c r="AB111" s="109">
        <v>2050</v>
      </c>
      <c r="AD111" s="119"/>
      <c r="AE111" s="111">
        <v>2011</v>
      </c>
      <c r="AF111" s="111">
        <v>2020</v>
      </c>
      <c r="AG111" s="111">
        <v>2030</v>
      </c>
      <c r="AH111" s="111">
        <v>2040</v>
      </c>
      <c r="AI111" s="109">
        <v>2050</v>
      </c>
    </row>
    <row r="112" spans="1:36">
      <c r="A112" s="4" t="s">
        <v>43</v>
      </c>
      <c r="B112" s="6">
        <v>535631</v>
      </c>
      <c r="C112" s="2" t="s">
        <v>276</v>
      </c>
      <c r="D112" s="8">
        <v>8455</v>
      </c>
      <c r="E112" s="2" t="s">
        <v>277</v>
      </c>
      <c r="F112" s="147">
        <v>0</v>
      </c>
      <c r="G112" s="145" t="s">
        <v>296</v>
      </c>
      <c r="P112" s="120" t="s">
        <v>342</v>
      </c>
      <c r="Q112" s="100">
        <f>X106/25</f>
        <v>0</v>
      </c>
      <c r="R112" s="100">
        <f>Y106/25</f>
        <v>198630.21527095675</v>
      </c>
      <c r="S112" s="100">
        <f>Z106/25</f>
        <v>431298.66282372636</v>
      </c>
      <c r="T112" s="100">
        <f>AA106/25</f>
        <v>698005.34265830799</v>
      </c>
      <c r="U112" s="100">
        <f>AB106/25</f>
        <v>1002318.8302991284</v>
      </c>
      <c r="W112" s="120" t="s">
        <v>372</v>
      </c>
      <c r="X112" s="100"/>
      <c r="Y112" s="125">
        <f>R112*0.120215+R113*0.132915</f>
        <v>20233.259309098452</v>
      </c>
      <c r="Z112" s="125">
        <f t="shared" ref="Z112" si="175">S112*0.120215+S113*0.132915</f>
        <v>43933.787579476375</v>
      </c>
      <c r="AA112" s="125">
        <f t="shared" ref="AA112" si="176">T112*0.120215+T113*0.132915</f>
        <v>71101.584811133653</v>
      </c>
      <c r="AB112" s="129">
        <f t="shared" ref="AB112" si="177">U112*0.120215+U113*0.132915</f>
        <v>102100.16022068843</v>
      </c>
      <c r="AD112" s="120" t="s">
        <v>372</v>
      </c>
      <c r="AE112" s="100"/>
      <c r="AF112" s="125">
        <f>R112*0.120215/0.22+R113*0.132915/0.15</f>
        <v>84237.389545024082</v>
      </c>
      <c r="AG112" s="125">
        <f t="shared" ref="AG112" si="178">S112*0.120215/0.22+S113*0.132915/0.15</f>
        <v>182910.10469363647</v>
      </c>
      <c r="AH112" s="125">
        <f t="shared" ref="AH112" si="179">T112*0.120215/0.22+T113*0.132915/0.15</f>
        <v>296018.14544583665</v>
      </c>
      <c r="AI112" s="125">
        <f t="shared" ref="AI112" si="180">U112*0.120215/0.22+U113*0.132915/0.15</f>
        <v>425074.91441341734</v>
      </c>
    </row>
    <row r="113" spans="1:35" ht="13.5" thickBot="1">
      <c r="A113" s="4" t="s">
        <v>278</v>
      </c>
      <c r="B113" s="6">
        <v>3948202</v>
      </c>
      <c r="C113" s="2" t="s">
        <v>279</v>
      </c>
      <c r="D113" s="8">
        <v>89366</v>
      </c>
      <c r="E113" s="2" t="s">
        <v>280</v>
      </c>
      <c r="F113" s="146">
        <v>1718</v>
      </c>
      <c r="G113" s="145" t="s">
        <v>299</v>
      </c>
      <c r="P113" s="121" t="s">
        <v>333</v>
      </c>
      <c r="Q113" s="100">
        <f>X107/5</f>
        <v>0</v>
      </c>
      <c r="R113" s="124">
        <f>Y107/5</f>
        <v>-27424.083208814769</v>
      </c>
      <c r="S113" s="124">
        <f>Z107/5</f>
        <v>-59547.689665409409</v>
      </c>
      <c r="T113" s="124">
        <f>AA107/5</f>
        <v>-96370.819369783974</v>
      </c>
      <c r="U113" s="124">
        <f>AB107/5</f>
        <v>-138386.17134049057</v>
      </c>
      <c r="W113" s="130" t="s">
        <v>373</v>
      </c>
      <c r="X113" s="107"/>
      <c r="Y113" s="131">
        <f>(9*R112+10.218*R113)/1000</f>
        <v>1507.4526552109414</v>
      </c>
      <c r="Z113" s="131">
        <f t="shared" ref="Z113" si="181">(9*S112+10.218*S113)/1000</f>
        <v>3273.2296724123839</v>
      </c>
      <c r="AA113" s="131">
        <f t="shared" ref="AA113" si="182">(9*T112+10.218*T113)/1000</f>
        <v>5297.3310516043193</v>
      </c>
      <c r="AB113" s="132">
        <f t="shared" ref="AB113" si="183">(9*U112+10.218*U113)/1000</f>
        <v>7606.8395739350235</v>
      </c>
      <c r="AD113" s="130" t="s">
        <v>373</v>
      </c>
      <c r="AE113" s="107"/>
      <c r="AF113" s="131">
        <f>(9*R112/0.22+10.218*R113/0.15)/1000</f>
        <v>6257.6529856274055</v>
      </c>
      <c r="AG113" s="131">
        <f t="shared" ref="AG113" si="184">(9*S112/0.22+10.218*S113/0.15)/1000</f>
        <v>13587.647586417481</v>
      </c>
      <c r="AH113" s="131">
        <f t="shared" ref="AH113" si="185">(9*T112/0.22+10.218*T113/0.15)/1000</f>
        <v>21989.983802370192</v>
      </c>
      <c r="AI113" s="131">
        <f t="shared" ref="AI113" si="186">(9*U112/0.22+10.218*U113/0.15)/1000</f>
        <v>31577.086156886497</v>
      </c>
    </row>
    <row r="114" spans="1:35" ht="13.5" thickBot="1">
      <c r="A114" s="4" t="s">
        <v>11</v>
      </c>
      <c r="B114" s="6">
        <v>1956902</v>
      </c>
      <c r="C114" s="2" t="s">
        <v>282</v>
      </c>
      <c r="D114" s="8">
        <v>46826</v>
      </c>
      <c r="E114" s="2" t="s">
        <v>283</v>
      </c>
      <c r="F114" s="147">
        <v>504</v>
      </c>
      <c r="G114" s="145" t="s">
        <v>302</v>
      </c>
      <c r="P114" s="122" t="s">
        <v>336</v>
      </c>
      <c r="Q114" s="107">
        <f>SUM(Q112:Q113)</f>
        <v>0</v>
      </c>
      <c r="R114" s="126">
        <f t="shared" ref="R114" si="187">SUM(R112:R113)</f>
        <v>171206.13206214199</v>
      </c>
      <c r="S114" s="126">
        <f t="shared" ref="S114" si="188">SUM(S112:S113)</f>
        <v>371750.97315831698</v>
      </c>
      <c r="T114" s="126">
        <f t="shared" ref="T114" si="189">SUM(T112:T113)</f>
        <v>601634.52328852401</v>
      </c>
      <c r="U114" s="127">
        <f t="shared" ref="U114" si="190">SUM(U112:U113)</f>
        <v>863932.65895863785</v>
      </c>
    </row>
    <row r="115" spans="1:35">
      <c r="A115" s="4" t="s">
        <v>15</v>
      </c>
      <c r="B115" s="6">
        <v>776383</v>
      </c>
      <c r="C115" s="2" t="s">
        <v>285</v>
      </c>
      <c r="D115" s="8">
        <v>18985</v>
      </c>
      <c r="E115" s="2" t="s">
        <v>286</v>
      </c>
      <c r="F115" s="147">
        <v>423</v>
      </c>
      <c r="G115" s="145" t="s">
        <v>305</v>
      </c>
      <c r="I115" s="62" t="s">
        <v>362</v>
      </c>
    </row>
    <row r="116" spans="1:35" ht="13.5" thickBot="1">
      <c r="A116" s="4" t="s">
        <v>19</v>
      </c>
      <c r="B116" s="6">
        <v>508512</v>
      </c>
      <c r="C116" s="2" t="s">
        <v>288</v>
      </c>
      <c r="D116" s="8">
        <v>10714</v>
      </c>
      <c r="E116" s="2" t="s">
        <v>289</v>
      </c>
      <c r="F116" s="147">
        <v>486</v>
      </c>
      <c r="G116" s="145" t="s">
        <v>309</v>
      </c>
      <c r="I116" s="13" t="s">
        <v>360</v>
      </c>
      <c r="J116" s="134">
        <v>2011</v>
      </c>
      <c r="K116" s="134"/>
      <c r="L116" s="134"/>
      <c r="M116" s="134"/>
      <c r="N116" s="134"/>
      <c r="O116" s="134">
        <v>2020</v>
      </c>
      <c r="P116" s="134"/>
      <c r="Q116" s="134"/>
      <c r="R116" s="134"/>
      <c r="S116" s="134"/>
      <c r="T116" s="134">
        <v>2030</v>
      </c>
      <c r="U116" s="134"/>
      <c r="V116" s="134"/>
      <c r="W116" s="134"/>
      <c r="X116" s="134"/>
      <c r="Y116" s="134">
        <v>2040</v>
      </c>
      <c r="Z116" s="134"/>
      <c r="AA116" s="134"/>
      <c r="AB116" s="134"/>
      <c r="AC116" s="134"/>
      <c r="AD116" s="134">
        <v>2050</v>
      </c>
      <c r="AE116" s="134"/>
      <c r="AF116" s="134"/>
      <c r="AG116" s="134"/>
      <c r="AH116" s="134"/>
    </row>
    <row r="117" spans="1:35">
      <c r="A117" s="4" t="s">
        <v>23</v>
      </c>
      <c r="B117" s="6">
        <v>299961</v>
      </c>
      <c r="C117" s="2" t="s">
        <v>291</v>
      </c>
      <c r="D117" s="8">
        <v>5453</v>
      </c>
      <c r="E117" s="2" t="s">
        <v>292</v>
      </c>
      <c r="F117" s="147">
        <v>116</v>
      </c>
      <c r="G117" s="145" t="s">
        <v>312</v>
      </c>
      <c r="I117" s="75"/>
      <c r="J117" s="79" t="s">
        <v>343</v>
      </c>
      <c r="K117" s="80" t="s">
        <v>344</v>
      </c>
      <c r="L117" s="81" t="s">
        <v>345</v>
      </c>
      <c r="M117" s="82" t="s">
        <v>346</v>
      </c>
      <c r="N117" s="83" t="s">
        <v>336</v>
      </c>
      <c r="O117" s="65" t="s">
        <v>343</v>
      </c>
      <c r="P117" s="66" t="s">
        <v>344</v>
      </c>
      <c r="Q117" s="67" t="s">
        <v>345</v>
      </c>
      <c r="R117" s="68" t="s">
        <v>346</v>
      </c>
      <c r="S117" s="69" t="s">
        <v>336</v>
      </c>
      <c r="T117" s="65" t="s">
        <v>343</v>
      </c>
      <c r="U117" s="66" t="s">
        <v>344</v>
      </c>
      <c r="V117" s="67" t="s">
        <v>345</v>
      </c>
      <c r="W117" s="68" t="s">
        <v>346</v>
      </c>
      <c r="X117" s="69" t="s">
        <v>336</v>
      </c>
      <c r="Y117" s="65" t="s">
        <v>343</v>
      </c>
      <c r="Z117" s="66" t="s">
        <v>344</v>
      </c>
      <c r="AA117" s="67" t="s">
        <v>345</v>
      </c>
      <c r="AB117" s="68" t="s">
        <v>346</v>
      </c>
      <c r="AC117" s="69" t="s">
        <v>336</v>
      </c>
      <c r="AD117" s="65" t="s">
        <v>343</v>
      </c>
      <c r="AE117" s="66" t="s">
        <v>344</v>
      </c>
      <c r="AF117" s="67" t="s">
        <v>345</v>
      </c>
      <c r="AG117" s="68" t="s">
        <v>346</v>
      </c>
      <c r="AH117" s="69" t="s">
        <v>336</v>
      </c>
    </row>
    <row r="118" spans="1:35">
      <c r="A118" s="4" t="s">
        <v>27</v>
      </c>
      <c r="B118" s="6">
        <v>78015</v>
      </c>
      <c r="C118" s="2" t="s">
        <v>293</v>
      </c>
      <c r="D118" s="8">
        <v>1058</v>
      </c>
      <c r="E118" s="2" t="s">
        <v>145</v>
      </c>
      <c r="F118" s="147">
        <v>45</v>
      </c>
      <c r="G118" s="145" t="s">
        <v>269</v>
      </c>
      <c r="I118" s="76" t="s">
        <v>342</v>
      </c>
      <c r="J118" s="59">
        <v>0.10500840336134454</v>
      </c>
      <c r="K118" s="59">
        <v>0.13126050420168067</v>
      </c>
      <c r="L118" s="59">
        <v>0.27429243697478994</v>
      </c>
      <c r="M118" s="59">
        <v>0.26960672268907565</v>
      </c>
      <c r="N118" s="84">
        <v>0.7801680672268908</v>
      </c>
      <c r="O118" s="70">
        <f t="shared" ref="O118:R122" si="191">J118/$N118*$S118</f>
        <v>8.5486160340913622E-2</v>
      </c>
      <c r="P118" s="64">
        <f t="shared" si="191"/>
        <v>0.10685770042614202</v>
      </c>
      <c r="Q118" s="64">
        <f t="shared" si="191"/>
        <v>0.22329838848076933</v>
      </c>
      <c r="R118" s="64">
        <f t="shared" si="191"/>
        <v>0.21948380117234317</v>
      </c>
      <c r="S118" s="71">
        <f>($AH118-$N118)*1/4+$N118</f>
        <v>0.63512605042016812</v>
      </c>
      <c r="T118" s="70">
        <f t="shared" ref="T118:U122" si="192">J118/$N118*$X118</f>
        <v>6.5963917320482707E-2</v>
      </c>
      <c r="U118" s="64">
        <f t="shared" si="192"/>
        <v>8.2454896650603376E-2</v>
      </c>
      <c r="V118" s="64">
        <f t="shared" ref="V118:W122" si="193">L118/$N118*$X118</f>
        <v>0.17230433998674871</v>
      </c>
      <c r="W118" s="64">
        <f t="shared" si="193"/>
        <v>0.16936087965561067</v>
      </c>
      <c r="X118" s="71">
        <f>($AH118-$N118)*2/4+$N118</f>
        <v>0.49008403361344544</v>
      </c>
      <c r="Y118" s="70">
        <f t="shared" ref="Y118:AB122" si="194">J118/$N118*$AC118</f>
        <v>4.6441674300051784E-2</v>
      </c>
      <c r="Z118" s="64">
        <f t="shared" si="194"/>
        <v>5.8052092875064722E-2</v>
      </c>
      <c r="AA118" s="64">
        <f t="shared" si="194"/>
        <v>0.1213102914927281</v>
      </c>
      <c r="AB118" s="64">
        <f t="shared" si="194"/>
        <v>0.11923795813887815</v>
      </c>
      <c r="AC118" s="71">
        <f>($AH118-$N118)*3/4+$N118</f>
        <v>0.34504201680672275</v>
      </c>
      <c r="AD118" s="94">
        <f t="shared" ref="AD118:AG122" si="195">J118/$N118*$AH118</f>
        <v>2.6919431279620855E-2</v>
      </c>
      <c r="AE118" s="95">
        <f t="shared" si="195"/>
        <v>3.3649289099526067E-2</v>
      </c>
      <c r="AF118" s="95">
        <f t="shared" si="195"/>
        <v>7.0316242998707465E-2</v>
      </c>
      <c r="AG118" s="95">
        <f t="shared" si="195"/>
        <v>6.9115036622145631E-2</v>
      </c>
      <c r="AH118" s="96">
        <v>0.2</v>
      </c>
    </row>
    <row r="119" spans="1:35">
      <c r="A119" s="4" t="s">
        <v>31</v>
      </c>
      <c r="B119" s="6">
        <v>186064</v>
      </c>
      <c r="C119" s="2" t="s">
        <v>295</v>
      </c>
      <c r="D119" s="8">
        <v>3345</v>
      </c>
      <c r="E119" s="2" t="s">
        <v>82</v>
      </c>
      <c r="F119" s="147">
        <v>67</v>
      </c>
      <c r="G119" s="145" t="s">
        <v>317</v>
      </c>
      <c r="I119" s="77" t="s">
        <v>333</v>
      </c>
      <c r="J119" s="59">
        <v>5.0756302521008404E-3</v>
      </c>
      <c r="K119" s="59">
        <v>1.540168067226891E-2</v>
      </c>
      <c r="L119" s="59">
        <v>4.7354621848739488E-2</v>
      </c>
      <c r="M119" s="59">
        <v>1.1495798319327729E-2</v>
      </c>
      <c r="N119" s="84">
        <v>7.9327731092436959E-2</v>
      </c>
      <c r="O119" s="70">
        <f t="shared" si="191"/>
        <v>1.0205027773821396E-2</v>
      </c>
      <c r="P119" s="64">
        <f t="shared" si="191"/>
        <v>3.0966514741489828E-2</v>
      </c>
      <c r="Q119" s="64">
        <f t="shared" si="191"/>
        <v>9.5210881640791917E-2</v>
      </c>
      <c r="R119" s="64">
        <f t="shared" si="191"/>
        <v>2.311337416322461E-2</v>
      </c>
      <c r="S119" s="71">
        <f>($AH119-$N119)*1/4+$N119</f>
        <v>0.15949579831932773</v>
      </c>
      <c r="T119" s="70">
        <f t="shared" si="192"/>
        <v>1.5334425295541951E-2</v>
      </c>
      <c r="U119" s="64">
        <f t="shared" si="192"/>
        <v>4.6531348810710742E-2</v>
      </c>
      <c r="V119" s="64">
        <f t="shared" si="193"/>
        <v>0.14306714143284432</v>
      </c>
      <c r="W119" s="64">
        <f t="shared" si="193"/>
        <v>3.4730950007121494E-2</v>
      </c>
      <c r="X119" s="71">
        <f>($AH119-$N119)*2/4+$N119</f>
        <v>0.23966386554621849</v>
      </c>
      <c r="Y119" s="70">
        <f t="shared" si="194"/>
        <v>2.0463822817262507E-2</v>
      </c>
      <c r="Z119" s="64">
        <f t="shared" si="194"/>
        <v>6.2096182879931669E-2</v>
      </c>
      <c r="AA119" s="64">
        <f t="shared" si="194"/>
        <v>0.19092340122489676</v>
      </c>
      <c r="AB119" s="64">
        <f t="shared" si="194"/>
        <v>4.6348525851018375E-2</v>
      </c>
      <c r="AC119" s="71">
        <f>($AH119-$N119)*3/4+$N119</f>
        <v>0.31983193277310928</v>
      </c>
      <c r="AD119" s="94">
        <f t="shared" si="195"/>
        <v>2.559322033898306E-2</v>
      </c>
      <c r="AE119" s="95">
        <f t="shared" si="195"/>
        <v>7.7661016949152575E-2</v>
      </c>
      <c r="AF119" s="95">
        <f t="shared" si="195"/>
        <v>0.23877966101694917</v>
      </c>
      <c r="AG119" s="95">
        <f t="shared" si="195"/>
        <v>5.7966101694915256E-2</v>
      </c>
      <c r="AH119" s="96">
        <v>0.4</v>
      </c>
    </row>
    <row r="120" spans="1:35">
      <c r="A120" s="4" t="s">
        <v>35</v>
      </c>
      <c r="B120" s="6">
        <v>44271</v>
      </c>
      <c r="C120" s="2" t="s">
        <v>297</v>
      </c>
      <c r="D120" s="7">
        <v>859</v>
      </c>
      <c r="E120" s="2" t="s">
        <v>298</v>
      </c>
      <c r="F120" s="147">
        <v>16</v>
      </c>
      <c r="G120" s="145" t="s">
        <v>205</v>
      </c>
      <c r="I120" s="76" t="s">
        <v>334</v>
      </c>
      <c r="J120" s="59">
        <v>7.4756302521008389E-3</v>
      </c>
      <c r="K120" s="59">
        <v>2.7213445378151253E-2</v>
      </c>
      <c r="L120" s="59">
        <v>0</v>
      </c>
      <c r="M120" s="59">
        <v>0</v>
      </c>
      <c r="N120" s="84">
        <v>3.4689075630252093E-2</v>
      </c>
      <c r="O120" s="70">
        <f t="shared" si="191"/>
        <v>1.6381916487525242E-2</v>
      </c>
      <c r="P120" s="64">
        <f t="shared" si="191"/>
        <v>5.9634890235163822E-2</v>
      </c>
      <c r="Q120" s="64">
        <f t="shared" si="191"/>
        <v>0</v>
      </c>
      <c r="R120" s="64">
        <f t="shared" si="191"/>
        <v>0</v>
      </c>
      <c r="S120" s="71">
        <f>($AH120-$N120)*1/4+$N120</f>
        <v>7.6016806722689068E-2</v>
      </c>
      <c r="T120" s="70">
        <f t="shared" si="192"/>
        <v>2.5288202722949647E-2</v>
      </c>
      <c r="U120" s="64">
        <f t="shared" si="192"/>
        <v>9.2056335092176395E-2</v>
      </c>
      <c r="V120" s="64">
        <f t="shared" si="193"/>
        <v>0</v>
      </c>
      <c r="W120" s="64">
        <f t="shared" si="193"/>
        <v>0</v>
      </c>
      <c r="X120" s="71">
        <f>($AH120-$N120)*2/4+$N120</f>
        <v>0.11734453781512605</v>
      </c>
      <c r="Y120" s="70">
        <f t="shared" si="194"/>
        <v>3.4194488958374049E-2</v>
      </c>
      <c r="Z120" s="64">
        <f t="shared" si="194"/>
        <v>0.12447777994918896</v>
      </c>
      <c r="AA120" s="64">
        <f t="shared" si="194"/>
        <v>0</v>
      </c>
      <c r="AB120" s="64">
        <f t="shared" si="194"/>
        <v>0</v>
      </c>
      <c r="AC120" s="71">
        <f>($AH120-$N120)*3/4+$N120</f>
        <v>0.15867226890756303</v>
      </c>
      <c r="AD120" s="94">
        <f t="shared" si="195"/>
        <v>4.3100775193798457E-2</v>
      </c>
      <c r="AE120" s="95">
        <f t="shared" si="195"/>
        <v>0.15689922480620155</v>
      </c>
      <c r="AF120" s="95">
        <f t="shared" si="195"/>
        <v>0</v>
      </c>
      <c r="AG120" s="95">
        <f t="shared" si="195"/>
        <v>0</v>
      </c>
      <c r="AH120" s="96">
        <v>0.2</v>
      </c>
    </row>
    <row r="121" spans="1:35">
      <c r="A121" s="4" t="s">
        <v>39</v>
      </c>
      <c r="B121" s="6">
        <v>45540</v>
      </c>
      <c r="C121" s="2" t="s">
        <v>300</v>
      </c>
      <c r="D121" s="8">
        <v>1048</v>
      </c>
      <c r="E121" s="2" t="s">
        <v>301</v>
      </c>
      <c r="F121" s="147">
        <v>29</v>
      </c>
      <c r="G121" s="145" t="s">
        <v>322</v>
      </c>
      <c r="I121" s="76" t="s">
        <v>335</v>
      </c>
      <c r="J121" s="59">
        <v>0.10581512605042021</v>
      </c>
      <c r="K121" s="59">
        <v>0</v>
      </c>
      <c r="L121" s="59">
        <v>0</v>
      </c>
      <c r="M121" s="59">
        <v>0</v>
      </c>
      <c r="N121" s="84">
        <v>0.10581512605042021</v>
      </c>
      <c r="O121" s="70">
        <f t="shared" si="191"/>
        <v>0.12936134453781517</v>
      </c>
      <c r="P121" s="64">
        <f t="shared" si="191"/>
        <v>0</v>
      </c>
      <c r="Q121" s="64">
        <f t="shared" si="191"/>
        <v>0</v>
      </c>
      <c r="R121" s="64">
        <f t="shared" si="191"/>
        <v>0</v>
      </c>
      <c r="S121" s="71">
        <f>($AH121-$N121)*1/4+$N121</f>
        <v>0.12936134453781517</v>
      </c>
      <c r="T121" s="70">
        <f t="shared" si="192"/>
        <v>0.15290756302521011</v>
      </c>
      <c r="U121" s="64">
        <f t="shared" si="192"/>
        <v>0</v>
      </c>
      <c r="V121" s="64">
        <f t="shared" si="193"/>
        <v>0</v>
      </c>
      <c r="W121" s="64">
        <f t="shared" si="193"/>
        <v>0</v>
      </c>
      <c r="X121" s="71">
        <f>($AH121-$N121)*2/4+$N121</f>
        <v>0.15290756302521011</v>
      </c>
      <c r="Y121" s="70">
        <f t="shared" si="194"/>
        <v>0.17645378151260505</v>
      </c>
      <c r="Z121" s="64">
        <f t="shared" si="194"/>
        <v>0</v>
      </c>
      <c r="AA121" s="64">
        <f t="shared" si="194"/>
        <v>0</v>
      </c>
      <c r="AB121" s="64">
        <f t="shared" si="194"/>
        <v>0</v>
      </c>
      <c r="AC121" s="71">
        <f>($AH121-$N121)*3/4+$N121</f>
        <v>0.17645378151260505</v>
      </c>
      <c r="AD121" s="94">
        <f t="shared" si="195"/>
        <v>0.2</v>
      </c>
      <c r="AE121" s="95">
        <f t="shared" si="195"/>
        <v>0</v>
      </c>
      <c r="AF121" s="95">
        <f t="shared" si="195"/>
        <v>0</v>
      </c>
      <c r="AG121" s="95">
        <f t="shared" si="195"/>
        <v>0</v>
      </c>
      <c r="AH121" s="96">
        <v>0.2</v>
      </c>
    </row>
    <row r="122" spans="1:35" ht="13.5" thickBot="1">
      <c r="A122" s="4" t="s">
        <v>43</v>
      </c>
      <c r="B122" s="6">
        <v>52554</v>
      </c>
      <c r="C122" s="2" t="s">
        <v>303</v>
      </c>
      <c r="D122" s="8">
        <v>1078</v>
      </c>
      <c r="E122" s="2" t="s">
        <v>304</v>
      </c>
      <c r="F122" s="147">
        <v>32</v>
      </c>
      <c r="G122" s="145" t="s">
        <v>123</v>
      </c>
      <c r="I122" s="78" t="s">
        <v>336</v>
      </c>
      <c r="J122" s="85">
        <v>0.22337478991596643</v>
      </c>
      <c r="K122" s="85">
        <v>0.17387563025210082</v>
      </c>
      <c r="L122" s="85">
        <v>0.3216470588235294</v>
      </c>
      <c r="M122" s="85">
        <v>0.28110252100840338</v>
      </c>
      <c r="N122" s="86">
        <v>1</v>
      </c>
      <c r="O122" s="72">
        <f t="shared" si="191"/>
        <v>0.22337478991596643</v>
      </c>
      <c r="P122" s="73">
        <f t="shared" si="191"/>
        <v>0.17387563025210082</v>
      </c>
      <c r="Q122" s="73">
        <f t="shared" si="191"/>
        <v>0.3216470588235294</v>
      </c>
      <c r="R122" s="73">
        <f t="shared" si="191"/>
        <v>0.28110252100840338</v>
      </c>
      <c r="S122" s="74">
        <f>($AH122-$N122)*1/4+$N122</f>
        <v>1</v>
      </c>
      <c r="T122" s="72">
        <f t="shared" si="192"/>
        <v>0.22337478991596643</v>
      </c>
      <c r="U122" s="73">
        <f t="shared" si="192"/>
        <v>0.17387563025210082</v>
      </c>
      <c r="V122" s="73">
        <f t="shared" si="193"/>
        <v>0.3216470588235294</v>
      </c>
      <c r="W122" s="73">
        <f t="shared" si="193"/>
        <v>0.28110252100840338</v>
      </c>
      <c r="X122" s="74">
        <f>($AH122-$N122)*2/4+$N122</f>
        <v>1</v>
      </c>
      <c r="Y122" s="72">
        <f t="shared" si="194"/>
        <v>0.22337478991596643</v>
      </c>
      <c r="Z122" s="73">
        <f t="shared" si="194"/>
        <v>0.17387563025210082</v>
      </c>
      <c r="AA122" s="73">
        <f t="shared" si="194"/>
        <v>0.3216470588235294</v>
      </c>
      <c r="AB122" s="73">
        <f t="shared" si="194"/>
        <v>0.28110252100840338</v>
      </c>
      <c r="AC122" s="74">
        <f>($AH122-$N122)*3/4+$N122</f>
        <v>1</v>
      </c>
      <c r="AD122" s="97">
        <f t="shared" si="195"/>
        <v>0.22337478991596643</v>
      </c>
      <c r="AE122" s="98">
        <f t="shared" si="195"/>
        <v>0.17387563025210082</v>
      </c>
      <c r="AF122" s="98">
        <f t="shared" si="195"/>
        <v>0.3216470588235294</v>
      </c>
      <c r="AG122" s="98">
        <f t="shared" si="195"/>
        <v>0.28110252100840338</v>
      </c>
      <c r="AH122" s="99">
        <v>1</v>
      </c>
    </row>
    <row r="123" spans="1:35">
      <c r="A123" s="4" t="s">
        <v>306</v>
      </c>
      <c r="B123" s="6">
        <v>2419660</v>
      </c>
      <c r="C123" s="2" t="s">
        <v>307</v>
      </c>
      <c r="D123" s="8">
        <v>53511</v>
      </c>
      <c r="E123" s="2" t="s">
        <v>308</v>
      </c>
      <c r="F123" s="147">
        <v>538</v>
      </c>
      <c r="G123" s="145" t="s">
        <v>180</v>
      </c>
    </row>
    <row r="124" spans="1:35" ht="13.5" thickBot="1">
      <c r="A124" s="4" t="s">
        <v>11</v>
      </c>
      <c r="B124" s="6">
        <v>460125</v>
      </c>
      <c r="C124" s="2" t="s">
        <v>310</v>
      </c>
      <c r="D124" s="8">
        <v>9280</v>
      </c>
      <c r="E124" s="2" t="s">
        <v>311</v>
      </c>
      <c r="F124" s="147">
        <v>86</v>
      </c>
      <c r="G124" s="145" t="s">
        <v>180</v>
      </c>
      <c r="I124" s="13" t="s">
        <v>361</v>
      </c>
      <c r="J124" s="134">
        <v>2011</v>
      </c>
      <c r="K124" s="134"/>
      <c r="L124" s="134"/>
      <c r="M124" s="134"/>
      <c r="N124" s="134"/>
      <c r="O124" s="134">
        <v>2020</v>
      </c>
      <c r="P124" s="134"/>
      <c r="Q124" s="134"/>
      <c r="R124" s="134"/>
      <c r="S124" s="134"/>
      <c r="T124" s="134">
        <v>2030</v>
      </c>
      <c r="U124" s="134"/>
      <c r="V124" s="134"/>
      <c r="W124" s="134"/>
      <c r="X124" s="134"/>
      <c r="Y124" s="134">
        <v>2040</v>
      </c>
      <c r="Z124" s="134"/>
      <c r="AA124" s="134"/>
      <c r="AB124" s="134"/>
      <c r="AC124" s="134"/>
      <c r="AD124" s="134">
        <v>2050</v>
      </c>
      <c r="AE124" s="134"/>
      <c r="AF124" s="134"/>
      <c r="AG124" s="134"/>
      <c r="AH124" s="134"/>
    </row>
    <row r="125" spans="1:35">
      <c r="A125" s="4" t="s">
        <v>15</v>
      </c>
      <c r="B125" s="6">
        <v>412663</v>
      </c>
      <c r="C125" s="2" t="s">
        <v>313</v>
      </c>
      <c r="D125" s="8">
        <v>9102</v>
      </c>
      <c r="E125" s="2" t="s">
        <v>314</v>
      </c>
      <c r="F125" s="147">
        <v>63</v>
      </c>
      <c r="G125" s="145" t="s">
        <v>160</v>
      </c>
      <c r="I125" s="75"/>
      <c r="J125" s="103" t="s">
        <v>343</v>
      </c>
      <c r="K125" s="80" t="s">
        <v>344</v>
      </c>
      <c r="L125" s="81" t="s">
        <v>345</v>
      </c>
      <c r="M125" s="82" t="s">
        <v>346</v>
      </c>
      <c r="N125" s="83" t="s">
        <v>336</v>
      </c>
      <c r="O125" s="65" t="s">
        <v>343</v>
      </c>
      <c r="P125" s="66" t="s">
        <v>344</v>
      </c>
      <c r="Q125" s="67" t="s">
        <v>345</v>
      </c>
      <c r="R125" s="68" t="s">
        <v>346</v>
      </c>
      <c r="S125" s="69" t="s">
        <v>336</v>
      </c>
      <c r="T125" s="65" t="s">
        <v>343</v>
      </c>
      <c r="U125" s="66" t="s">
        <v>344</v>
      </c>
      <c r="V125" s="67" t="s">
        <v>345</v>
      </c>
      <c r="W125" s="68" t="s">
        <v>346</v>
      </c>
      <c r="X125" s="69" t="s">
        <v>336</v>
      </c>
      <c r="Y125" s="65" t="s">
        <v>343</v>
      </c>
      <c r="Z125" s="66" t="s">
        <v>344</v>
      </c>
      <c r="AA125" s="67" t="s">
        <v>345</v>
      </c>
      <c r="AB125" s="68" t="s">
        <v>346</v>
      </c>
      <c r="AC125" s="69" t="s">
        <v>336</v>
      </c>
      <c r="AD125" s="65" t="s">
        <v>343</v>
      </c>
      <c r="AE125" s="66" t="s">
        <v>344</v>
      </c>
      <c r="AF125" s="67" t="s">
        <v>345</v>
      </c>
      <c r="AG125" s="68" t="s">
        <v>346</v>
      </c>
      <c r="AH125" s="69" t="s">
        <v>336</v>
      </c>
    </row>
    <row r="126" spans="1:35">
      <c r="A126" s="4" t="s">
        <v>19</v>
      </c>
      <c r="B126" s="6">
        <v>388087</v>
      </c>
      <c r="C126" s="2" t="s">
        <v>315</v>
      </c>
      <c r="D126" s="8">
        <v>7303</v>
      </c>
      <c r="E126" s="2" t="s">
        <v>316</v>
      </c>
      <c r="F126" s="147">
        <v>251</v>
      </c>
      <c r="G126" s="143"/>
      <c r="I126" s="76" t="s">
        <v>342</v>
      </c>
      <c r="J126" s="104">
        <f>480*J118*$AK$25*1</f>
        <v>749760</v>
      </c>
      <c r="K126" s="100">
        <f>480*K118*$AK$25*3.5</f>
        <v>3280200</v>
      </c>
      <c r="L126" s="100">
        <f>480*L118*$AK$25*6.5</f>
        <v>12729912.000000002</v>
      </c>
      <c r="M126" s="100">
        <f>480*M118*$AK$25*12</f>
        <v>23099904.000000004</v>
      </c>
      <c r="N126" s="105">
        <f>SUM(J126:M126)</f>
        <v>39859776.000000007</v>
      </c>
      <c r="O126" s="104">
        <f>480*O118*$AL$25*1</f>
        <v>667883.6246445498</v>
      </c>
      <c r="P126" s="100">
        <f>480*P118*$AL$25*3.5</f>
        <v>2921990.8578199055</v>
      </c>
      <c r="Q126" s="100">
        <f>480*Q118*$AL$25*6.5</f>
        <v>11339761.747714138</v>
      </c>
      <c r="R126" s="100">
        <f>480*R118*$AL$25*12</f>
        <v>20577314.890713211</v>
      </c>
      <c r="S126" s="105">
        <f>SUM(O126:R126)</f>
        <v>35506951.120891802</v>
      </c>
      <c r="T126" s="104">
        <f>480*T118*$AM$25*1</f>
        <v>559518.21042654046</v>
      </c>
      <c r="U126" s="100">
        <f>480*U118*$AM$25*3.5</f>
        <v>2447892.170616114</v>
      </c>
      <c r="V126" s="100">
        <f>480*V118*$AM$25*6.5</f>
        <v>9499863.3977904171</v>
      </c>
      <c r="W126" s="100">
        <f>480*W118*$AM$25*12</f>
        <v>17238605.616603825</v>
      </c>
      <c r="X126" s="105">
        <f>SUM(T126:W126)</f>
        <v>29745879.395436898</v>
      </c>
      <c r="Y126" s="104">
        <f>480*Y118*$AN$25*1</f>
        <v>425015.75734597165</v>
      </c>
      <c r="Z126" s="100">
        <f>480*Z118*$AN$25*3.5</f>
        <v>1859443.9383886256</v>
      </c>
      <c r="AA126" s="100">
        <f>480*AA118*$AN$25*6.5</f>
        <v>7216193.4347358793</v>
      </c>
      <c r="AB126" s="100">
        <f>480*AB118*$AN$25*12</f>
        <v>13094621.203023953</v>
      </c>
      <c r="AC126" s="105">
        <f>SUM(Y126:AB126)</f>
        <v>22595274.333494432</v>
      </c>
      <c r="AD126" s="104">
        <f>480*AD118*$AO$25*1</f>
        <v>265320.89261614892</v>
      </c>
      <c r="AE126" s="100">
        <f>480*AE118*$AO$25*3.5</f>
        <v>1160778.9051956516</v>
      </c>
      <c r="AF126" s="100">
        <f>480*AF118*$AO$25*6.5</f>
        <v>4504790.3525995333</v>
      </c>
      <c r="AG126" s="100">
        <f>480*AG118*$AO$25*12</f>
        <v>8174465.3604184669</v>
      </c>
      <c r="AH126" s="105">
        <f>SUM(AD126:AG126)</f>
        <v>14105355.510829801</v>
      </c>
    </row>
    <row r="127" spans="1:35">
      <c r="A127" s="4" t="s">
        <v>23</v>
      </c>
      <c r="B127" s="6">
        <v>314679</v>
      </c>
      <c r="C127" s="2" t="s">
        <v>318</v>
      </c>
      <c r="D127" s="8">
        <v>6817</v>
      </c>
      <c r="E127" s="2" t="s">
        <v>319</v>
      </c>
      <c r="F127" s="147">
        <v>85</v>
      </c>
      <c r="G127" s="143"/>
      <c r="I127" s="77" t="s">
        <v>333</v>
      </c>
      <c r="J127" s="104">
        <f>480*J119*$AK$25*1</f>
        <v>36240</v>
      </c>
      <c r="K127" s="100">
        <f>480*K119*$AK$25*3.5</f>
        <v>384888.00000000006</v>
      </c>
      <c r="L127" s="100">
        <f>480*L119*$AK$25*6.5</f>
        <v>2197727.9999999995</v>
      </c>
      <c r="M127" s="100">
        <f>480*M119*$AK$25*12</f>
        <v>984959.99999999977</v>
      </c>
      <c r="N127" s="105">
        <f t="shared" ref="N127:N130" si="196">SUM(J127:M127)</f>
        <v>3603815.9999999991</v>
      </c>
      <c r="O127" s="104">
        <f>480*O119*$AL$25*1</f>
        <v>79729.524779183601</v>
      </c>
      <c r="P127" s="100">
        <f>480*P119*$AL$25*3.5</f>
        <v>846769.79396276001</v>
      </c>
      <c r="Q127" s="100">
        <f>480*Q119*$AL$25*6.5</f>
        <v>4835094.068264503</v>
      </c>
      <c r="R127" s="100">
        <f>480*R119*$AL$25*12</f>
        <v>2166953.441680592</v>
      </c>
      <c r="S127" s="105">
        <f>SUM(O127:R127)</f>
        <v>7928546.8286870383</v>
      </c>
      <c r="T127" s="104">
        <f>480*T119*$AM$25*1</f>
        <v>130069.44626402488</v>
      </c>
      <c r="U127" s="100">
        <f>480*U119*$AM$25*3.5</f>
        <v>1381406.4302888524</v>
      </c>
      <c r="V127" s="100">
        <f>480*V119*$AM$25*6.5</f>
        <v>7887893.5982048232</v>
      </c>
      <c r="W127" s="100">
        <f>480*W119*$AM$25*12</f>
        <v>3535132.4997851523</v>
      </c>
      <c r="X127" s="105">
        <f t="shared" ref="X127:X130" si="197">SUM(T127:W127)</f>
        <v>12934501.974542852</v>
      </c>
      <c r="Y127" s="104">
        <f>480*Y119*$AN$25*1</f>
        <v>187276.77853903087</v>
      </c>
      <c r="Z127" s="100">
        <f>480*Z119*$AN$25*3.5</f>
        <v>1988978.607569827</v>
      </c>
      <c r="AA127" s="100">
        <f>480*AA119*$AN$25*6.5</f>
        <v>11357158.387004061</v>
      </c>
      <c r="AB127" s="100">
        <f>480*AB119*$AN$25*12</f>
        <v>5089959.5968488902</v>
      </c>
      <c r="AC127" s="105">
        <f t="shared" ref="AC127:AC130" si="198">SUM(Y127:AB127)</f>
        <v>18623373.369961809</v>
      </c>
      <c r="AD127" s="104">
        <f>480*AD119*$AO$25*1</f>
        <v>252249.61087500371</v>
      </c>
      <c r="AE127" s="100">
        <f>480*AE119*$AO$25*3.5</f>
        <v>2679024.5096704867</v>
      </c>
      <c r="AF127" s="100">
        <f>480*AF119*$AO$25*6.5</f>
        <v>15297351.898705848</v>
      </c>
      <c r="AG127" s="100">
        <f>480*AG119*$AO$25*12</f>
        <v>6855843.7286822181</v>
      </c>
      <c r="AH127" s="105">
        <f t="shared" ref="AH127:AH130" si="199">SUM(AD127:AG127)</f>
        <v>25084469.747933559</v>
      </c>
    </row>
    <row r="128" spans="1:35">
      <c r="A128" s="4" t="s">
        <v>27</v>
      </c>
      <c r="B128" s="6">
        <v>99639</v>
      </c>
      <c r="C128" s="2" t="s">
        <v>320</v>
      </c>
      <c r="D128" s="8">
        <v>1914</v>
      </c>
      <c r="E128" s="2" t="s">
        <v>321</v>
      </c>
      <c r="F128" s="147">
        <v>31</v>
      </c>
      <c r="G128" s="143"/>
      <c r="I128" s="76" t="s">
        <v>334</v>
      </c>
      <c r="J128" s="104">
        <f>480*J120*$AK$25*1</f>
        <v>53375.999999999993</v>
      </c>
      <c r="K128" s="100">
        <f>480*K120*$AK$25*3.5</f>
        <v>680063.99999999977</v>
      </c>
      <c r="L128" s="100">
        <f>480*L120*$AK$25*6.5</f>
        <v>0</v>
      </c>
      <c r="M128" s="100">
        <f>480*M120*$AK$25*12</f>
        <v>0</v>
      </c>
      <c r="N128" s="105">
        <f t="shared" si="196"/>
        <v>733439.99999999977</v>
      </c>
      <c r="O128" s="104">
        <f>480*O120*$AL$25*1</f>
        <v>127988.12952505733</v>
      </c>
      <c r="P128" s="100">
        <f>480*P120*$AL$25*3.5</f>
        <v>1630697.6790566654</v>
      </c>
      <c r="Q128" s="100">
        <f>480*Q120*$AL$25*6.5</f>
        <v>0</v>
      </c>
      <c r="R128" s="100">
        <f>480*R120*$AL$25*12</f>
        <v>0</v>
      </c>
      <c r="S128" s="105">
        <f>SUM(O128:R128)</f>
        <v>1758685.8085817227</v>
      </c>
      <c r="T128" s="104">
        <f>480*T120*$AM$25*1</f>
        <v>214499.23696473418</v>
      </c>
      <c r="U128" s="100">
        <f>480*U120*$AM$25*3.5</f>
        <v>2732936.3213276556</v>
      </c>
      <c r="V128" s="100">
        <f>480*V120*$AM$25*6.5</f>
        <v>0</v>
      </c>
      <c r="W128" s="100">
        <f>480*W120*$AM$25*12</f>
        <v>0</v>
      </c>
      <c r="X128" s="105">
        <f t="shared" si="197"/>
        <v>2947435.5582923898</v>
      </c>
      <c r="Y128" s="104">
        <f>480*Y120*$AN$25*1</f>
        <v>312934.38147396006</v>
      </c>
      <c r="Z128" s="100">
        <f>480*Z120*$AN$25*3.5</f>
        <v>3987099.2056862097</v>
      </c>
      <c r="AA128" s="100">
        <f>480*AA120*$AN$25*6.5</f>
        <v>0</v>
      </c>
      <c r="AB128" s="100">
        <f>480*AB120*$AN$25*12</f>
        <v>0</v>
      </c>
      <c r="AC128" s="105">
        <f t="shared" si="198"/>
        <v>4300033.5871601701</v>
      </c>
      <c r="AD128" s="104">
        <f>480*AD120*$AO$25*1</f>
        <v>424806.00827268447</v>
      </c>
      <c r="AE128" s="100">
        <f>480*AE120*$AO$25*3.5</f>
        <v>5412456.4075606046</v>
      </c>
      <c r="AF128" s="100">
        <f>480*AF120*$AO$25*6.5</f>
        <v>0</v>
      </c>
      <c r="AG128" s="100">
        <f>480*AG120*$AO$25*12</f>
        <v>0</v>
      </c>
      <c r="AH128" s="105">
        <f t="shared" si="199"/>
        <v>5837262.4158332888</v>
      </c>
    </row>
    <row r="129" spans="1:35">
      <c r="A129" s="4" t="s">
        <v>31</v>
      </c>
      <c r="B129" s="6">
        <v>279526</v>
      </c>
      <c r="C129" s="2" t="s">
        <v>323</v>
      </c>
      <c r="D129" s="8">
        <v>6457</v>
      </c>
      <c r="E129" s="2" t="s">
        <v>324</v>
      </c>
      <c r="F129" s="147">
        <v>12</v>
      </c>
      <c r="G129" s="143"/>
      <c r="I129" s="76" t="s">
        <v>335</v>
      </c>
      <c r="J129" s="104">
        <f>480*J121*$AK$25*1</f>
        <v>755520.00000000035</v>
      </c>
      <c r="K129" s="100">
        <f>480*K121*$AK$25*3.5</f>
        <v>0</v>
      </c>
      <c r="L129" s="100">
        <f>480*L121*$AK$25*6.5</f>
        <v>0</v>
      </c>
      <c r="M129" s="100">
        <f>480*M121*$AK$25*12</f>
        <v>0</v>
      </c>
      <c r="N129" s="105">
        <f t="shared" si="196"/>
        <v>755520.00000000035</v>
      </c>
      <c r="O129" s="104">
        <f>480*O121*$AL$25*1</f>
        <v>1010670.3042253525</v>
      </c>
      <c r="P129" s="100">
        <f>480*P121*$AL$25*3.5</f>
        <v>0</v>
      </c>
      <c r="Q129" s="100">
        <f>480*Q121*$AL$25*6.5</f>
        <v>0</v>
      </c>
      <c r="R129" s="100">
        <f>480*R121*$AL$25*12</f>
        <v>0</v>
      </c>
      <c r="S129" s="105">
        <f>SUM(O129:R129)</f>
        <v>1010670.3042253525</v>
      </c>
      <c r="T129" s="104">
        <f>480*T121*$AM$25*1</f>
        <v>1296990.3774647892</v>
      </c>
      <c r="U129" s="100">
        <f>480*U121*$AM$25*3.5</f>
        <v>0</v>
      </c>
      <c r="V129" s="100">
        <f>480*V121*$AM$25*6.5</f>
        <v>0</v>
      </c>
      <c r="W129" s="100">
        <f>480*W121*$AM$25*12</f>
        <v>0</v>
      </c>
      <c r="X129" s="105">
        <f t="shared" si="197"/>
        <v>1296990.3774647892</v>
      </c>
      <c r="Y129" s="104">
        <f>480*Y121*$AN$25*1</f>
        <v>1614834.9239436619</v>
      </c>
      <c r="Z129" s="100">
        <f>480*Z121*$AN$25*3.5</f>
        <v>0</v>
      </c>
      <c r="AA129" s="100">
        <f>480*AA121*$AN$25*6.5</f>
        <v>0</v>
      </c>
      <c r="AB129" s="100">
        <f>480*AB121*$AN$25*12</f>
        <v>0</v>
      </c>
      <c r="AC129" s="105">
        <f t="shared" si="198"/>
        <v>1614834.9239436619</v>
      </c>
      <c r="AD129" s="104">
        <f>480*AD121*$AO$25*1</f>
        <v>1971222.1247185711</v>
      </c>
      <c r="AE129" s="100">
        <f>480*AE121*$AO$25*3.5</f>
        <v>0</v>
      </c>
      <c r="AF129" s="100">
        <f>480*AF121*$AO$25*6.5</f>
        <v>0</v>
      </c>
      <c r="AG129" s="100">
        <f>480*AG121*$AO$25*12</f>
        <v>0</v>
      </c>
      <c r="AH129" s="105">
        <f t="shared" si="199"/>
        <v>1971222.1247185711</v>
      </c>
    </row>
    <row r="130" spans="1:35" ht="13.5" thickBot="1">
      <c r="A130" s="4" t="s">
        <v>35</v>
      </c>
      <c r="B130" s="6">
        <v>94729</v>
      </c>
      <c r="C130" s="2" t="s">
        <v>325</v>
      </c>
      <c r="D130" s="8">
        <v>2582</v>
      </c>
      <c r="E130" s="2" t="s">
        <v>326</v>
      </c>
      <c r="F130" s="147">
        <v>0</v>
      </c>
      <c r="G130" s="143"/>
      <c r="I130" s="78" t="s">
        <v>336</v>
      </c>
      <c r="J130" s="106">
        <f>480*J122*$AK$25*1</f>
        <v>1594896.0000000002</v>
      </c>
      <c r="K130" s="107">
        <f>480*K122*$AK$25*3.5</f>
        <v>4345151.9999999991</v>
      </c>
      <c r="L130" s="107">
        <f>480*L122*$AK$25*6.5</f>
        <v>14927640</v>
      </c>
      <c r="M130" s="107">
        <f>480*M122*$AK$25*12</f>
        <v>24084864.000000004</v>
      </c>
      <c r="N130" s="108">
        <f t="shared" si="196"/>
        <v>44952552</v>
      </c>
      <c r="O130" s="106">
        <f>480*O122*$AL$25*1</f>
        <v>1745175.6371830988</v>
      </c>
      <c r="P130" s="107">
        <f>480*P122*$AL$25*3.5</f>
        <v>4754575.477183098</v>
      </c>
      <c r="Q130" s="107">
        <f>480*Q122*$AL$25*6.5</f>
        <v>16334202.135211267</v>
      </c>
      <c r="R130" s="107">
        <f>480*R122*$AL$25*12</f>
        <v>26354268.79098592</v>
      </c>
      <c r="S130" s="108">
        <f>SUM(O130:R130)</f>
        <v>49188222.040563382</v>
      </c>
      <c r="T130" s="106">
        <f>480*T122*$AM$25*1</f>
        <v>1894706.496901409</v>
      </c>
      <c r="U130" s="107">
        <f>480*U122*$AM$25*3.5</f>
        <v>5161958.9769014074</v>
      </c>
      <c r="V130" s="107">
        <f>480*V122*$AM$25*6.5</f>
        <v>17733755.988732398</v>
      </c>
      <c r="W130" s="107">
        <f>480*W122*$AM$25*12</f>
        <v>28612366.134084515</v>
      </c>
      <c r="X130" s="108">
        <f t="shared" si="197"/>
        <v>53402787.596619725</v>
      </c>
      <c r="Y130" s="106">
        <f>480*Y122*$AN$25*1</f>
        <v>2044237.3566197187</v>
      </c>
      <c r="Z130" s="107">
        <f>480*Z122*$AN$25*3.5</f>
        <v>5569342.4766197167</v>
      </c>
      <c r="AA130" s="107">
        <f>480*AA122*$AN$25*6.5</f>
        <v>19133309.842253517</v>
      </c>
      <c r="AB130" s="107">
        <f>480*AB122*$AN$25*12</f>
        <v>30870463.477183104</v>
      </c>
      <c r="AC130" s="108">
        <f t="shared" si="198"/>
        <v>57617353.152676061</v>
      </c>
      <c r="AD130" s="106">
        <f>480*AD122*$AO$25*1</f>
        <v>2201606.6399335791</v>
      </c>
      <c r="AE130" s="107">
        <f>480*AE122*$AO$25*3.5</f>
        <v>5998081.0627907198</v>
      </c>
      <c r="AF130" s="107">
        <f>480*AF122*$AO$25*6.5</f>
        <v>20606228.457866896</v>
      </c>
      <c r="AG130" s="107">
        <f>480*AG122*$AO$25*12</f>
        <v>33246930.523555905</v>
      </c>
      <c r="AH130" s="108">
        <f t="shared" si="199"/>
        <v>62052846.684147097</v>
      </c>
    </row>
    <row r="131" spans="1:35">
      <c r="A131" s="4" t="s">
        <v>39</v>
      </c>
      <c r="B131" s="6">
        <v>115897</v>
      </c>
      <c r="C131" s="2" t="s">
        <v>327</v>
      </c>
      <c r="D131" s="8">
        <v>2714</v>
      </c>
      <c r="E131" s="2" t="s">
        <v>328</v>
      </c>
      <c r="F131" s="147">
        <v>0</v>
      </c>
      <c r="G131" s="143"/>
    </row>
    <row r="132" spans="1:35" ht="13.5" thickBot="1">
      <c r="A132" s="4" t="s">
        <v>43</v>
      </c>
      <c r="B132" s="6">
        <v>254315</v>
      </c>
      <c r="C132" s="2" t="s">
        <v>329</v>
      </c>
      <c r="D132" s="8">
        <v>7342</v>
      </c>
      <c r="E132" s="2" t="s">
        <v>330</v>
      </c>
      <c r="F132" s="147">
        <v>10</v>
      </c>
      <c r="G132" s="143"/>
      <c r="I132" s="13" t="s">
        <v>374</v>
      </c>
      <c r="J132" s="134"/>
      <c r="K132" s="134"/>
      <c r="L132" s="134"/>
      <c r="M132" s="134"/>
      <c r="N132" s="134"/>
      <c r="P132" s="13" t="s">
        <v>375</v>
      </c>
      <c r="Q132" s="123"/>
      <c r="R132" s="123"/>
      <c r="S132" s="123"/>
      <c r="T132" s="123"/>
      <c r="U132" s="123"/>
      <c r="W132" s="13" t="s">
        <v>377</v>
      </c>
      <c r="X132" s="123"/>
      <c r="Y132" s="123"/>
      <c r="Z132" s="123"/>
      <c r="AA132" s="123"/>
      <c r="AB132" s="123"/>
      <c r="AD132" s="13" t="s">
        <v>379</v>
      </c>
      <c r="AE132" s="123"/>
      <c r="AF132" s="123"/>
      <c r="AG132" s="123"/>
      <c r="AH132" s="123"/>
      <c r="AI132" s="123"/>
    </row>
    <row r="133" spans="1:35">
      <c r="A133" s="1" t="s">
        <v>1</v>
      </c>
      <c r="B133" s="140"/>
      <c r="C133" s="1"/>
      <c r="D133" s="1"/>
      <c r="E133" s="1"/>
      <c r="F133" s="143"/>
      <c r="G133" s="143"/>
      <c r="I133" s="75"/>
      <c r="J133" s="110">
        <v>2011</v>
      </c>
      <c r="K133" s="111">
        <v>2020</v>
      </c>
      <c r="L133" s="111">
        <v>2030</v>
      </c>
      <c r="M133" s="111">
        <v>2040</v>
      </c>
      <c r="N133" s="109">
        <v>2050</v>
      </c>
      <c r="P133" s="119"/>
      <c r="Q133" s="111">
        <v>2011</v>
      </c>
      <c r="R133" s="111">
        <v>2020</v>
      </c>
      <c r="S133" s="111">
        <v>2030</v>
      </c>
      <c r="T133" s="111">
        <v>2040</v>
      </c>
      <c r="U133" s="109">
        <v>2050</v>
      </c>
      <c r="W133" s="119"/>
      <c r="X133" s="111">
        <v>2011</v>
      </c>
      <c r="Y133" s="111">
        <v>2020</v>
      </c>
      <c r="Z133" s="111">
        <v>2030</v>
      </c>
      <c r="AA133" s="111">
        <v>2040</v>
      </c>
      <c r="AB133" s="109">
        <v>2050</v>
      </c>
      <c r="AD133" s="119"/>
      <c r="AE133" s="111">
        <v>2011</v>
      </c>
      <c r="AF133" s="111">
        <v>2020</v>
      </c>
      <c r="AG133" s="111">
        <v>2030</v>
      </c>
      <c r="AH133" s="111">
        <v>2040</v>
      </c>
      <c r="AI133" s="109">
        <v>2050</v>
      </c>
    </row>
    <row r="134" spans="1:35">
      <c r="A134" s="1"/>
      <c r="B134" s="141"/>
      <c r="C134" s="1"/>
      <c r="D134" s="1"/>
      <c r="E134" s="1"/>
      <c r="F134" s="143"/>
      <c r="G134" s="143"/>
      <c r="I134" s="76" t="s">
        <v>342</v>
      </c>
      <c r="J134" s="104">
        <f>N126</f>
        <v>39859776.000000007</v>
      </c>
      <c r="K134" s="100">
        <f>S126</f>
        <v>35506951.120891802</v>
      </c>
      <c r="L134" s="100">
        <f>X126</f>
        <v>29745879.395436898</v>
      </c>
      <c r="M134" s="100">
        <f>AC126</f>
        <v>22595274.333494432</v>
      </c>
      <c r="N134" s="105">
        <f>AH126</f>
        <v>14105355.510829801</v>
      </c>
      <c r="P134" s="120" t="s">
        <v>342</v>
      </c>
      <c r="Q134" s="100">
        <f>J134/1.07</f>
        <v>37252127.102803744</v>
      </c>
      <c r="R134" s="100">
        <f>K134/1.07</f>
        <v>33184066.468123179</v>
      </c>
      <c r="S134" s="100">
        <f>L134/1.07</f>
        <v>27799887.285455044</v>
      </c>
      <c r="T134" s="100">
        <f>M134/1.07</f>
        <v>21117078.816349935</v>
      </c>
      <c r="U134" s="105">
        <f>N134/1.07</f>
        <v>13182575.243766168</v>
      </c>
      <c r="W134" s="120" t="s">
        <v>342</v>
      </c>
      <c r="X134" s="100">
        <f>$Q$53-Q134</f>
        <v>0</v>
      </c>
      <c r="Y134" s="100">
        <f>$R$53-R134</f>
        <v>7578155.427888412</v>
      </c>
      <c r="Z134" s="100">
        <f>$S$53-S134</f>
        <v>16454940.14221378</v>
      </c>
      <c r="AA134" s="100">
        <f>$T$53-T134</f>
        <v>26630354.142976116</v>
      </c>
      <c r="AB134" s="100">
        <f>$U$53-U134</f>
        <v>38240546.001244381</v>
      </c>
      <c r="AD134" s="120" t="s">
        <v>342</v>
      </c>
      <c r="AE134" s="100">
        <f>Q134/0.22</f>
        <v>169327850.46728975</v>
      </c>
      <c r="AF134" s="100">
        <f t="shared" ref="AF134:AF135" si="200">R134/0.22</f>
        <v>150836665.76419628</v>
      </c>
      <c r="AG134" s="100">
        <f t="shared" ref="AG134:AG135" si="201">S134/0.22</f>
        <v>126363124.02479565</v>
      </c>
      <c r="AH134" s="100">
        <f t="shared" ref="AH134:AH135" si="202">T134/0.22</f>
        <v>95986721.8924997</v>
      </c>
      <c r="AI134" s="100">
        <f t="shared" ref="AI134:AI135" si="203">U134/0.22</f>
        <v>59920796.562573493</v>
      </c>
    </row>
    <row r="135" spans="1:35">
      <c r="A135" s="1" t="s">
        <v>1</v>
      </c>
      <c r="B135" s="141"/>
      <c r="C135" s="1"/>
      <c r="D135" s="1"/>
      <c r="E135" s="1"/>
      <c r="F135" s="143"/>
      <c r="G135" s="143"/>
      <c r="I135" s="77" t="s">
        <v>333</v>
      </c>
      <c r="J135" s="104">
        <f t="shared" ref="J135:J137" si="204">N127</f>
        <v>3603815.9999999991</v>
      </c>
      <c r="K135" s="100">
        <f t="shared" ref="K135:K137" si="205">S127</f>
        <v>7928546.8286870383</v>
      </c>
      <c r="L135" s="100">
        <f t="shared" ref="L135:L137" si="206">X127</f>
        <v>12934501.974542852</v>
      </c>
      <c r="M135" s="100">
        <f t="shared" ref="M135:M137" si="207">AC127</f>
        <v>18623373.369961809</v>
      </c>
      <c r="N135" s="105">
        <f t="shared" ref="N135:N137" si="208">AH127</f>
        <v>25084469.747933559</v>
      </c>
      <c r="P135" s="121" t="s">
        <v>333</v>
      </c>
      <c r="Q135" s="100">
        <f>J135/20</f>
        <v>180190.79999999996</v>
      </c>
      <c r="R135" s="100">
        <f t="shared" ref="R135" si="209">K135/20</f>
        <v>396427.34143435193</v>
      </c>
      <c r="S135" s="100">
        <f t="shared" ref="S135" si="210">L135/20</f>
        <v>646725.09872714267</v>
      </c>
      <c r="T135" s="100">
        <f t="shared" ref="T135" si="211">M135/20</f>
        <v>931168.66849809047</v>
      </c>
      <c r="U135" s="105">
        <f t="shared" ref="U135" si="212">N135/20</f>
        <v>1254223.487396678</v>
      </c>
      <c r="W135" s="121" t="s">
        <v>333</v>
      </c>
      <c r="X135" s="100">
        <f>$Q$54-Q135</f>
        <v>0</v>
      </c>
      <c r="Y135" s="128">
        <f>$R$54-R135</f>
        <v>-199257.99985688718</v>
      </c>
      <c r="Z135" s="128">
        <f>$S$54-S135</f>
        <v>-432661.81219193141</v>
      </c>
      <c r="AA135" s="128">
        <f>$T$54-T135</f>
        <v>-700211.43700513279</v>
      </c>
      <c r="AB135" s="128">
        <f>$U$54-U135</f>
        <v>-1005486.7285516226</v>
      </c>
      <c r="AD135" s="121" t="s">
        <v>333</v>
      </c>
      <c r="AE135" s="100">
        <f>Q135/0.22</f>
        <v>819049.09090909071</v>
      </c>
      <c r="AF135" s="100">
        <f t="shared" si="200"/>
        <v>1801942.461065236</v>
      </c>
      <c r="AG135" s="100">
        <f t="shared" si="201"/>
        <v>2939659.5396688301</v>
      </c>
      <c r="AH135" s="100">
        <f t="shared" si="202"/>
        <v>4232584.8568095025</v>
      </c>
      <c r="AI135" s="100">
        <f t="shared" si="203"/>
        <v>5701015.851803082</v>
      </c>
    </row>
    <row r="136" spans="1:35" ht="13.5" thickBot="1">
      <c r="A136" s="1"/>
      <c r="B136" s="141"/>
      <c r="C136" s="1"/>
      <c r="D136" s="1"/>
      <c r="E136" s="1"/>
      <c r="F136" s="143"/>
      <c r="G136" s="143"/>
      <c r="I136" s="76" t="s">
        <v>334</v>
      </c>
      <c r="J136" s="104">
        <f t="shared" si="204"/>
        <v>733439.99999999977</v>
      </c>
      <c r="K136" s="100">
        <f t="shared" si="205"/>
        <v>1758685.8085817227</v>
      </c>
      <c r="L136" s="100">
        <f t="shared" si="206"/>
        <v>2947435.5582923898</v>
      </c>
      <c r="M136" s="100">
        <f t="shared" si="207"/>
        <v>4300033.5871601701</v>
      </c>
      <c r="N136" s="105">
        <f t="shared" si="208"/>
        <v>5837262.4158332888</v>
      </c>
      <c r="P136" s="122" t="s">
        <v>336</v>
      </c>
      <c r="Q136" s="107">
        <f>SUM(Q134:Q135)</f>
        <v>37432317.902803741</v>
      </c>
      <c r="R136" s="107">
        <f t="shared" ref="R136" si="213">SUM(R134:R135)</f>
        <v>33580493.809557527</v>
      </c>
      <c r="S136" s="107">
        <f t="shared" ref="S136" si="214">SUM(S134:S135)</f>
        <v>28446612.384182189</v>
      </c>
      <c r="T136" s="107">
        <f t="shared" ref="T136" si="215">SUM(T134:T135)</f>
        <v>22048247.484848026</v>
      </c>
      <c r="U136" s="108">
        <f t="shared" ref="U136" si="216">SUM(U134:U135)</f>
        <v>14436798.731162846</v>
      </c>
      <c r="W136" s="122" t="s">
        <v>336</v>
      </c>
      <c r="X136" s="107">
        <f>SUM(X134:X135)</f>
        <v>0</v>
      </c>
      <c r="Y136" s="107">
        <f t="shared" ref="Y136" si="217">SUM(Y134:Y135)</f>
        <v>7378897.4280315246</v>
      </c>
      <c r="Z136" s="107">
        <f t="shared" ref="Z136" si="218">SUM(Z134:Z135)</f>
        <v>16022278.330021849</v>
      </c>
      <c r="AA136" s="107">
        <f t="shared" ref="AA136" si="219">SUM(AA134:AA135)</f>
        <v>25930142.705970984</v>
      </c>
      <c r="AB136" s="108">
        <f t="shared" ref="AB136" si="220">SUM(AB134:AB135)</f>
        <v>37235059.272692755</v>
      </c>
      <c r="AD136" s="122" t="s">
        <v>336</v>
      </c>
      <c r="AE136" s="107">
        <f>SUM(AE134:AE135)</f>
        <v>170146899.55819884</v>
      </c>
      <c r="AF136" s="107">
        <f t="shared" ref="AF136" si="221">SUM(AF134:AF135)</f>
        <v>152638608.22526151</v>
      </c>
      <c r="AG136" s="107">
        <f t="shared" ref="AG136" si="222">SUM(AG134:AG135)</f>
        <v>129302783.56446448</v>
      </c>
      <c r="AH136" s="107">
        <f t="shared" ref="AH136" si="223">SUM(AH134:AH135)</f>
        <v>100219306.7493092</v>
      </c>
      <c r="AI136" s="108">
        <f t="shared" ref="AI136" si="224">SUM(AI134:AI135)</f>
        <v>65621812.414376572</v>
      </c>
    </row>
    <row r="137" spans="1:35">
      <c r="A137" s="1" t="s">
        <v>1</v>
      </c>
      <c r="B137" s="141"/>
      <c r="C137" s="1"/>
      <c r="D137" s="1"/>
      <c r="E137" s="1"/>
      <c r="F137" s="143"/>
      <c r="G137" s="143"/>
      <c r="I137" s="76" t="s">
        <v>335</v>
      </c>
      <c r="J137" s="104">
        <f t="shared" si="204"/>
        <v>755520.00000000035</v>
      </c>
      <c r="K137" s="100">
        <f t="shared" si="205"/>
        <v>1010670.3042253525</v>
      </c>
      <c r="L137" s="100">
        <f t="shared" si="206"/>
        <v>1296990.3774647892</v>
      </c>
      <c r="M137" s="100">
        <f t="shared" si="207"/>
        <v>1614834.9239436619</v>
      </c>
      <c r="N137" s="105">
        <f t="shared" si="208"/>
        <v>1971222.1247185711</v>
      </c>
    </row>
    <row r="138" spans="1:35" ht="13.5" thickBot="1">
      <c r="A138" s="1"/>
      <c r="B138" s="141"/>
      <c r="C138" s="1"/>
      <c r="D138" s="1"/>
      <c r="E138" s="1"/>
      <c r="F138" s="143"/>
      <c r="G138" s="143"/>
      <c r="I138" s="78" t="s">
        <v>336</v>
      </c>
      <c r="J138" s="104">
        <f>N130</f>
        <v>44952552</v>
      </c>
      <c r="K138" s="100">
        <f>S130</f>
        <v>49188222.040563382</v>
      </c>
      <c r="L138" s="100">
        <f>X130</f>
        <v>53402787.596619725</v>
      </c>
      <c r="M138" s="100">
        <f>AC130</f>
        <v>57617353.152676061</v>
      </c>
      <c r="N138" s="105">
        <f>AH130</f>
        <v>62052846.684147097</v>
      </c>
      <c r="P138" s="13" t="s">
        <v>376</v>
      </c>
      <c r="Q138" s="123"/>
      <c r="R138" s="123"/>
      <c r="S138" s="123"/>
      <c r="T138" s="123"/>
      <c r="U138" s="123"/>
      <c r="W138" s="13" t="s">
        <v>378</v>
      </c>
      <c r="AD138" s="13" t="s">
        <v>380</v>
      </c>
    </row>
    <row r="139" spans="1:35">
      <c r="A139" s="1" t="s">
        <v>1</v>
      </c>
      <c r="B139" s="141"/>
      <c r="C139" s="1"/>
      <c r="D139" s="1"/>
      <c r="E139" s="1"/>
      <c r="F139" s="143"/>
      <c r="G139" s="143"/>
      <c r="I139" s="88"/>
      <c r="J139" s="117"/>
      <c r="K139" s="117"/>
      <c r="L139" s="117"/>
      <c r="M139" s="117"/>
      <c r="N139" s="117"/>
      <c r="P139" s="119"/>
      <c r="Q139" s="111">
        <v>2011</v>
      </c>
      <c r="R139" s="111">
        <v>2020</v>
      </c>
      <c r="S139" s="111">
        <v>2030</v>
      </c>
      <c r="T139" s="111">
        <v>2040</v>
      </c>
      <c r="U139" s="109">
        <v>2050</v>
      </c>
      <c r="W139" s="119"/>
      <c r="X139" s="111">
        <v>2011</v>
      </c>
      <c r="Y139" s="111">
        <v>2020</v>
      </c>
      <c r="Z139" s="111">
        <v>2030</v>
      </c>
      <c r="AA139" s="111">
        <v>2040</v>
      </c>
      <c r="AB139" s="109">
        <v>2050</v>
      </c>
      <c r="AD139" s="119"/>
      <c r="AE139" s="111">
        <v>2011</v>
      </c>
      <c r="AF139" s="111">
        <v>2020</v>
      </c>
      <c r="AG139" s="111">
        <v>2030</v>
      </c>
      <c r="AH139" s="111">
        <v>2040</v>
      </c>
      <c r="AI139" s="109">
        <v>2050</v>
      </c>
    </row>
    <row r="140" spans="1:35">
      <c r="A140" s="1"/>
      <c r="B140" s="141"/>
      <c r="C140" s="1"/>
      <c r="D140" s="1"/>
      <c r="E140" s="1"/>
      <c r="F140" s="143"/>
      <c r="I140" s="88"/>
      <c r="J140" s="117"/>
      <c r="K140" s="117"/>
      <c r="L140" s="117"/>
      <c r="M140" s="117"/>
      <c r="N140" s="117"/>
      <c r="P140" s="120" t="s">
        <v>342</v>
      </c>
      <c r="Q140" s="100">
        <f>X134/25</f>
        <v>0</v>
      </c>
      <c r="R140" s="100">
        <f>Y134/25</f>
        <v>303126.21711553651</v>
      </c>
      <c r="S140" s="100">
        <f>Z134/25</f>
        <v>658197.60568855121</v>
      </c>
      <c r="T140" s="100">
        <f>AA134/25</f>
        <v>1065214.1657190446</v>
      </c>
      <c r="U140" s="100">
        <f>AB134/25</f>
        <v>1529621.8400497753</v>
      </c>
      <c r="W140" s="120" t="s">
        <v>372</v>
      </c>
      <c r="X140" s="100"/>
      <c r="Y140" s="125">
        <f>R140*0.120215+R141*0.132915</f>
        <v>31143.442780348592</v>
      </c>
      <c r="Z140" s="125">
        <f t="shared" ref="Z140" si="225">S140*0.120215+S141*0.132915</f>
        <v>67623.776214351077</v>
      </c>
      <c r="AA140" s="125">
        <f t="shared" ref="AA140" si="226">T140*0.120215+T141*0.132915</f>
        <v>109441.00030200751</v>
      </c>
      <c r="AB140" s="129">
        <f t="shared" ref="AB140" si="227">U140*0.120215+U141*0.132915</f>
        <v>157154.63579649595</v>
      </c>
      <c r="AD140" s="120" t="s">
        <v>372</v>
      </c>
      <c r="AE140" s="100"/>
      <c r="AF140" s="125">
        <f>R140*0.120215/0.22+R141*0.132915/0.15</f>
        <v>130325.30722238164</v>
      </c>
      <c r="AG140" s="125">
        <f t="shared" ref="AG140" si="228">S140*0.120215/0.22+S141*0.132915/0.15</f>
        <v>282983.78804266045</v>
      </c>
      <c r="AH140" s="125">
        <f t="shared" ref="AH140" si="229">T140*0.120215/0.22+T141*0.132915/0.15</f>
        <v>457975.44246083649</v>
      </c>
      <c r="AI140" s="125">
        <f t="shared" ref="AI140" si="230">U140*0.120215/0.22+U141*0.132915/0.15</f>
        <v>657641.68515509844</v>
      </c>
    </row>
    <row r="141" spans="1:35" ht="13.5" thickBot="1">
      <c r="A141" s="1" t="s">
        <v>1</v>
      </c>
      <c r="B141" s="141"/>
      <c r="C141" s="1"/>
      <c r="D141" s="1"/>
      <c r="E141" s="1"/>
      <c r="F141" s="143"/>
      <c r="I141" s="88"/>
      <c r="J141" s="117"/>
      <c r="K141" s="117"/>
      <c r="L141" s="117"/>
      <c r="M141" s="117"/>
      <c r="N141" s="117"/>
      <c r="P141" s="121" t="s">
        <v>333</v>
      </c>
      <c r="Q141" s="100">
        <f>X135/5</f>
        <v>0</v>
      </c>
      <c r="R141" s="124">
        <f>Y135/5</f>
        <v>-39851.599971377436</v>
      </c>
      <c r="S141" s="124">
        <f>Z135/5</f>
        <v>-86532.362438386277</v>
      </c>
      <c r="T141" s="124">
        <f>AA135/5</f>
        <v>-140042.28740102655</v>
      </c>
      <c r="U141" s="124">
        <f>AB135/5</f>
        <v>-201097.34571032453</v>
      </c>
      <c r="W141" s="130" t="s">
        <v>373</v>
      </c>
      <c r="X141" s="107"/>
      <c r="Y141" s="131">
        <f>(9*R140+10.218*R141)/1000</f>
        <v>2320.9323055322939</v>
      </c>
      <c r="Z141" s="131">
        <f t="shared" ref="Z141" si="231">(9*S140+10.218*S141)/1000</f>
        <v>5039.5907718015305</v>
      </c>
      <c r="AA141" s="131">
        <f t="shared" ref="AA141" si="232">(9*T140+10.218*T141)/1000</f>
        <v>8155.9753988077127</v>
      </c>
      <c r="AB141" s="132">
        <f t="shared" ref="AB141" si="233">(9*U140+10.218*U141)/1000</f>
        <v>11711.783881979884</v>
      </c>
      <c r="AD141" s="130" t="s">
        <v>373</v>
      </c>
      <c r="AE141" s="107"/>
      <c r="AF141" s="131">
        <f>(9*R140/0.22+10.218*R141/0.15)/1000</f>
        <v>9685.92698285808</v>
      </c>
      <c r="AG141" s="131">
        <f t="shared" ref="AG141" si="234">(9*S140/0.22+10.218*S141/0.15)/1000</f>
        <v>21031.681157956042</v>
      </c>
      <c r="AH141" s="131">
        <f t="shared" ref="AH141" si="235">(9*T140/0.22+10.218*T141/0.15)/1000</f>
        <v>34037.262525293896</v>
      </c>
      <c r="AI141" s="131">
        <f t="shared" ref="AI141" si="236">(9*U140/0.22+10.218*U141/0.15)/1000</f>
        <v>48876.687721339869</v>
      </c>
    </row>
    <row r="142" spans="1:35" ht="13.5" thickBot="1">
      <c r="A142" s="1"/>
      <c r="B142" s="141"/>
      <c r="C142" s="1"/>
      <c r="D142" s="1"/>
      <c r="E142" s="1"/>
      <c r="F142" s="143"/>
      <c r="I142" s="88"/>
      <c r="J142" s="117"/>
      <c r="K142" s="117"/>
      <c r="L142" s="117"/>
      <c r="M142" s="117"/>
      <c r="N142" s="117"/>
      <c r="P142" s="122" t="s">
        <v>336</v>
      </c>
      <c r="Q142" s="107">
        <f>SUM(Q140:Q141)</f>
        <v>0</v>
      </c>
      <c r="R142" s="126">
        <f t="shared" ref="R142" si="237">SUM(R140:R141)</f>
        <v>263274.61714415904</v>
      </c>
      <c r="S142" s="126">
        <f t="shared" ref="S142" si="238">SUM(S140:S141)</f>
        <v>571665.2432501649</v>
      </c>
      <c r="T142" s="126">
        <f t="shared" ref="T142" si="239">SUM(T140:T141)</f>
        <v>925171.87831801805</v>
      </c>
      <c r="U142" s="127">
        <f t="shared" ref="U142" si="240">SUM(U140:U141)</f>
        <v>1328524.4943394507</v>
      </c>
      <c r="W142" s="13"/>
    </row>
    <row r="143" spans="1:35">
      <c r="A143" s="1" t="s">
        <v>1</v>
      </c>
      <c r="B143" s="141"/>
      <c r="C143" s="1"/>
      <c r="D143" s="1"/>
      <c r="E143" s="1"/>
      <c r="F143" s="143"/>
      <c r="I143" s="88"/>
      <c r="J143" s="117"/>
      <c r="K143" s="117"/>
      <c r="L143" s="117"/>
      <c r="M143" s="117"/>
      <c r="N143" s="117"/>
      <c r="W143" s="13"/>
    </row>
    <row r="144" spans="1:35">
      <c r="A144" s="1"/>
      <c r="B144" s="141"/>
      <c r="C144" s="1"/>
      <c r="D144" s="1"/>
      <c r="E144" s="1"/>
      <c r="F144" s="143"/>
      <c r="I144" s="88"/>
      <c r="J144" s="117"/>
      <c r="K144" s="117"/>
      <c r="L144" s="117"/>
      <c r="M144" s="117"/>
      <c r="N144" s="117"/>
      <c r="W144" s="13"/>
    </row>
    <row r="145" spans="1:23">
      <c r="A145" s="1" t="s">
        <v>1</v>
      </c>
      <c r="B145" s="141"/>
      <c r="C145" s="1"/>
      <c r="D145" s="1"/>
      <c r="E145" s="1"/>
      <c r="F145" s="143"/>
      <c r="I145" s="88"/>
      <c r="J145" s="117"/>
      <c r="K145" s="117"/>
      <c r="L145" s="117"/>
      <c r="M145" s="117"/>
      <c r="N145" s="117"/>
      <c r="W145" s="13" t="s">
        <v>367</v>
      </c>
    </row>
    <row r="146" spans="1:23">
      <c r="A146" s="1"/>
      <c r="B146" s="141"/>
      <c r="C146" s="1"/>
      <c r="D146" s="1"/>
      <c r="E146" s="1"/>
      <c r="F146" s="143"/>
    </row>
    <row r="166" spans="23:23">
      <c r="W166" s="13" t="s">
        <v>368</v>
      </c>
    </row>
  </sheetData>
  <mergeCells count="59">
    <mergeCell ref="Y124:AC124"/>
    <mergeCell ref="AD124:AH124"/>
    <mergeCell ref="B58:F58"/>
    <mergeCell ref="J76:N76"/>
    <mergeCell ref="J104:N104"/>
    <mergeCell ref="O88:S88"/>
    <mergeCell ref="O60:S60"/>
    <mergeCell ref="Y68:AC68"/>
    <mergeCell ref="AD68:AH68"/>
    <mergeCell ref="J96:N96"/>
    <mergeCell ref="O96:S96"/>
    <mergeCell ref="T96:X96"/>
    <mergeCell ref="Y96:AC96"/>
    <mergeCell ref="AD96:AH96"/>
    <mergeCell ref="AD60:AH60"/>
    <mergeCell ref="T60:X60"/>
    <mergeCell ref="B141:B142"/>
    <mergeCell ref="B143:B144"/>
    <mergeCell ref="B145:B146"/>
    <mergeCell ref="Q24:R24"/>
    <mergeCell ref="S24:T24"/>
    <mergeCell ref="J68:N68"/>
    <mergeCell ref="O68:S68"/>
    <mergeCell ref="T68:X68"/>
    <mergeCell ref="J124:N124"/>
    <mergeCell ref="O124:S124"/>
    <mergeCell ref="T124:X124"/>
    <mergeCell ref="J132:N132"/>
    <mergeCell ref="J43:N43"/>
    <mergeCell ref="O43:S43"/>
    <mergeCell ref="T43:X43"/>
    <mergeCell ref="J51:N51"/>
    <mergeCell ref="B133:B134"/>
    <mergeCell ref="B135:B136"/>
    <mergeCell ref="B137:B138"/>
    <mergeCell ref="B139:B140"/>
    <mergeCell ref="J60:N60"/>
    <mergeCell ref="J88:N88"/>
    <mergeCell ref="D2:E2"/>
    <mergeCell ref="F2:G2"/>
    <mergeCell ref="A1:B1"/>
    <mergeCell ref="B2:C2"/>
    <mergeCell ref="U24:V24"/>
    <mergeCell ref="Y60:AC60"/>
    <mergeCell ref="L16:O16"/>
    <mergeCell ref="P16:T16"/>
    <mergeCell ref="U16:Y16"/>
    <mergeCell ref="Z16:AO16"/>
    <mergeCell ref="Y43:AC43"/>
    <mergeCell ref="AD43:AH43"/>
    <mergeCell ref="W24:X24"/>
    <mergeCell ref="AD88:AH88"/>
    <mergeCell ref="J116:N116"/>
    <mergeCell ref="O116:S116"/>
    <mergeCell ref="T116:X116"/>
    <mergeCell ref="Y116:AC116"/>
    <mergeCell ref="AD116:AH116"/>
    <mergeCell ref="T88:X88"/>
    <mergeCell ref="Y88:AC88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2013-08-08T20:02:30Z</dcterms:created>
  <dcterms:modified xsi:type="dcterms:W3CDTF">2013-08-21T18:20:04Z</dcterms:modified>
</cp:coreProperties>
</file>